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<sst xmlns="http://schemas.openxmlformats.org/spreadsheetml/2006/main" count="487" uniqueCount="206">
  <si>
    <t>ОТЧЕТ ОБ ИСПОЛНЕНИИ БЮДЖЕТА</t>
  </si>
  <si>
    <t>КОДЫ</t>
  </si>
  <si>
    <t xml:space="preserve">Форма по ОКУД </t>
  </si>
  <si>
    <t>0503117</t>
  </si>
  <si>
    <t>на 1 сентября 2012 г.</t>
  </si>
  <si>
    <t xml:space="preserve">Дата </t>
  </si>
  <si>
    <t>01.09.2012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</si>
  <si>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</si>
  <si>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</si>
  <si>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</si>
  <si>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</si>
  <si>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</si>
  <si>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</si>
  <si>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</si>
  <si>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</si>
  <si>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</si>
  <si>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</si>
  <si>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</si>
  <si>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</si>
  <si>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</si>
  <si>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</si>
  <si>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</si>
  <si>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</si>
  <si>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</si>
  <si>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</si>
  <si>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</si>
  <si>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</si>
  <si>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</si>
  <si>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</si>
  <si>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</si>
  <si>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</si>
  <si>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</si>
  <si>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</si>
  <si>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</si>
  <si>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</si>
  <si>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</si>
  <si>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</si>
  <si>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</si>
  <si>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</si>
  <si>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</si>
  <si>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</si>
  <si>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</si>
  <si>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</si>
  <si>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</si>
  <si>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со...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</si>
  <si>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</si>
  <si>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</si>
  <si>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</si>
  <si>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</si>
  <si>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</si>
  <si>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</si>
  <si>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</si>
  <si>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</si>
  <si>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</si>
  <si>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</si>
  <si>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</si>
  <si>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</si>
  <si>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</si>
  <si>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</si>
  <si>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</si>
  <si>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</si>
  <si>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</si>
  <si>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</si>
  <si>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</si>
  <si>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</si>
  <si>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</si>
  <si>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</si>
  <si>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</si>
  <si>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</si>
  <si>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</si>
  <si>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</si>
  <si>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</si>
  <si>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</si>
  <si>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</si>
  <si>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</si>
  <si>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</si>
  <si>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</si>
  <si>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</si>
  <si>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</si>
  <si>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</si>
  <si>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</si>
  <si>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</si>
  <si>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992 0102 0020100 012 211</t>
  </si>
  <si>
    <t>Начисления на выплаты по оплате труда</t>
  </si>
  <si>
    <t>992 0102 0020100 012 213</t>
  </si>
  <si>
    <t>992 0104 0020400 012 211</t>
  </si>
  <si>
    <t>Прочие выплаты</t>
  </si>
  <si>
    <t>992 0104 0020400 012 212</t>
  </si>
  <si>
    <t>992 0104 0020400 012 213</t>
  </si>
  <si>
    <t>Услуги связи</t>
  </si>
  <si>
    <t>992 0104 0020400 012 221</t>
  </si>
  <si>
    <t>Коммунальные услуги</t>
  </si>
  <si>
    <t>992 0104 0020400 012 223</t>
  </si>
  <si>
    <t>Работы, услуги по содержанию имущества</t>
  </si>
  <si>
    <t>992 0104 0020400 012 225</t>
  </si>
  <si>
    <t>Прочие работы, услуги</t>
  </si>
  <si>
    <t>992 0104 0020400 012 226</t>
  </si>
  <si>
    <t>Прочие расходы</t>
  </si>
  <si>
    <t>992 0104 0020400 012 290</t>
  </si>
  <si>
    <t>Увеличение стоимости основных средств</t>
  </si>
  <si>
    <t>992 0104 0020400 012 310</t>
  </si>
  <si>
    <t>Увеличение стоимости материальных запасов</t>
  </si>
  <si>
    <t>992 0104 0020400 012 340</t>
  </si>
  <si>
    <t>Перечисления другим бюджетам бюджетной системы Российской Федерации</t>
  </si>
  <si>
    <t>992 0106 0020400 017 251</t>
  </si>
  <si>
    <t>992 0111 0700400 013 290</t>
  </si>
  <si>
    <t>992 0113 0029500 012 340</t>
  </si>
  <si>
    <t>992 0113 0029900 001 211</t>
  </si>
  <si>
    <t>992 0113 0029900 001 213</t>
  </si>
  <si>
    <t>992 0113 0029900 001 290</t>
  </si>
  <si>
    <t>992 0113 0900200 013 226</t>
  </si>
  <si>
    <t>992 0113 0939900 001 211</t>
  </si>
  <si>
    <t>992 0113 0939900 001 213</t>
  </si>
  <si>
    <t>992 0113 0939900 001 225</t>
  </si>
  <si>
    <t>992 0113 0939900 001 226</t>
  </si>
  <si>
    <t>992 0113 0939900 001 290</t>
  </si>
  <si>
    <t>992 0113 0939900 001 340</t>
  </si>
  <si>
    <t>992 0113 7951009 013 290</t>
  </si>
  <si>
    <t>992 0203 0013600 012 211</t>
  </si>
  <si>
    <t>992 0203 0013600 012 213</t>
  </si>
  <si>
    <t>992 0309 2189100 013 290</t>
  </si>
  <si>
    <t>992 0309 2189100 013 340</t>
  </si>
  <si>
    <t>992 0309 2189100 017 251</t>
  </si>
  <si>
    <t>992 0314 7951409 013 290</t>
  </si>
  <si>
    <t>992 0314 7952509 013 226</t>
  </si>
  <si>
    <t>992 0314 7953009 013 290</t>
  </si>
  <si>
    <t>992 0409 3150201 013 225</t>
  </si>
  <si>
    <t>992 0409 3150201 013 226</t>
  </si>
  <si>
    <t>992 0409 5241501 003 225</t>
  </si>
  <si>
    <t>992 0409 5241501 013 225</t>
  </si>
  <si>
    <t>992 0409 5241502 003 225</t>
  </si>
  <si>
    <t>992 0409 5241502 013 225</t>
  </si>
  <si>
    <t>992 0409 7953209 013 225</t>
  </si>
  <si>
    <t>992 0412 3400300 013 226</t>
  </si>
  <si>
    <t>992 0412 7953109 013 290</t>
  </si>
  <si>
    <t>992 0412 7953309 013 226</t>
  </si>
  <si>
    <t>992 0502 1020102 003 226</t>
  </si>
  <si>
    <t>992 0502 1020102 003 310</t>
  </si>
  <si>
    <t>992 0502 7953409 013 310</t>
  </si>
  <si>
    <t>992 0502 7953509 013 225</t>
  </si>
  <si>
    <t>992 0502 8510500 013 223</t>
  </si>
  <si>
    <t>992 0502 8510500 013 225</t>
  </si>
  <si>
    <t>992 0502 8510500 013 226</t>
  </si>
  <si>
    <t>992 0503 5226900 013 225</t>
  </si>
  <si>
    <t>992 0503 6000100 013 223</t>
  </si>
  <si>
    <t>992 0503 6000100 013 310</t>
  </si>
  <si>
    <t>992 0503 6000100 013 340</t>
  </si>
  <si>
    <t>992 0503 6000300 013 225</t>
  </si>
  <si>
    <t>992 0503 6000400 013 225</t>
  </si>
  <si>
    <t>992 0503 6000500 013 225</t>
  </si>
  <si>
    <t>992 0503 6000500 013 340</t>
  </si>
  <si>
    <t>992 0503 7953609 013 225</t>
  </si>
  <si>
    <t>Безвозмездные перечисления государственным и муниципальным организациям</t>
  </si>
  <si>
    <t>992 0707 7950809 031 241</t>
  </si>
  <si>
    <t>992 0801 4400200 013 310</t>
  </si>
  <si>
    <t>992 0801 4400200 017 251</t>
  </si>
  <si>
    <t>992 0801 4409901 025 241</t>
  </si>
  <si>
    <t>992 0801 4409902 031 241</t>
  </si>
  <si>
    <t>992 0801 4508500 013 225</t>
  </si>
  <si>
    <t>992 0801 5222499 031 241</t>
  </si>
  <si>
    <t>992 0801 5223804 031 241</t>
  </si>
  <si>
    <t>992 0801 7952109 031 241</t>
  </si>
  <si>
    <t>992 0801 7953709 031 241</t>
  </si>
  <si>
    <t>Пенсии, пособия, выплачиваемые организациями сектора государственного управления</t>
  </si>
  <si>
    <t>992 1001 4910101 005 263</t>
  </si>
  <si>
    <t>Пособия по социальной помощи населению</t>
  </si>
  <si>
    <t>992 1003 7952609 005 262</t>
  </si>
  <si>
    <t>992 1101 7950709 031 241</t>
  </si>
  <si>
    <t>992 1102 4879901 025 241</t>
  </si>
  <si>
    <t>992 1102 4879902 031 241</t>
  </si>
  <si>
    <t>992 1102 5222300 031 241</t>
  </si>
  <si>
    <t>992 1102 5242300 031 241</t>
  </si>
  <si>
    <t>Обслуживание внутреннего долга</t>
  </si>
  <si>
    <t>992 1301 0650300 013 231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</si>
  <si>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</si>
  <si>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</si>
  <si>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</si>
  <si>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</si>
  <si>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</si>
  <si>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</si>
  <si>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</si>
  <si>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</si>
  <si>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</si>
  <si>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</si>
  <si>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</si>
  <si>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</si>
  <si>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Бюджетные кредиты от других бюджетов бюджетной системы Российской Федерации</t>
  </si>
  <si>
    <t>992 01030000 10 0000 710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</si>
  <si>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</si>
  <si>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</si>
  <si>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</si>
  <si>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</si>
  <si>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</si>
  <si>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</si>
  <si>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</si>
  <si>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</si>
  <si>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</si>
  <si>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</si>
  <si>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</si>
  <si>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</si>
  <si>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</si>
  <si>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</si>
  <si>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</si>
  <si>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</si>
  <si>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9 октября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</si>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</sst>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31181800</f>
        <v>31181800</v>
      </c>
      <c r="N12" s="20"/>
      <c r="O12" s="20"/>
      <c r="P12" s="20">
        <f>13463972.17</f>
        <v>13463972.17</v>
      </c>
      <c r="Q12" s="20"/>
      <c r="R12" s="20"/>
      <c r="S12" s="20"/>
      <c r="T12" s="21">
        <f>17717827.83</f>
        <v>17717827.83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8090500</f>
        <v>8090500</v>
      </c>
      <c r="N13" s="24"/>
      <c r="O13" s="24"/>
      <c r="P13" s="24">
        <f>6019512.37</f>
        <v>6019512.37</v>
      </c>
      <c r="Q13" s="24"/>
      <c r="R13" s="24"/>
      <c r="S13" s="24"/>
      <c r="T13" s="25">
        <f>2070987.63</f>
        <v>2070987.63</v>
      </c>
      <c r="U13" s="25"/>
    </row>
    <row r="14" spans="1:21" s="1" customFormat="1" ht="45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41</v>
      </c>
      <c r="L14" s="23"/>
      <c r="M14" s="24">
        <f>3000</f>
        <v>3000</v>
      </c>
      <c r="N14" s="24"/>
      <c r="O14" s="24"/>
      <c r="P14" s="24">
        <f>980.16</f>
        <v>980.16</v>
      </c>
      <c r="Q14" s="24"/>
      <c r="R14" s="24"/>
      <c r="S14" s="24"/>
      <c r="T14" s="25">
        <f>2019.84</f>
        <v>2019.84</v>
      </c>
      <c r="U14" s="25"/>
    </row>
    <row r="15" spans="1:21" s="1" customFormat="1" ht="24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4">
        <f>17300</f>
        <v>17300</v>
      </c>
      <c r="N15" s="24"/>
      <c r="O15" s="24"/>
      <c r="P15" s="24">
        <f>22897.12</f>
        <v>22897.12</v>
      </c>
      <c r="Q15" s="24"/>
      <c r="R15" s="24"/>
      <c r="S15" s="24"/>
      <c r="T15" s="25">
        <f>-5597.12</f>
        <v>-5597.12</v>
      </c>
      <c r="U15" s="25"/>
    </row>
    <row r="16" spans="1:21" s="1" customFormat="1" ht="4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4">
        <f>1000</f>
        <v>1000</v>
      </c>
      <c r="N16" s="24"/>
      <c r="O16" s="24"/>
      <c r="P16" s="24">
        <f>1170</f>
        <v>1170</v>
      </c>
      <c r="Q16" s="24"/>
      <c r="R16" s="24"/>
      <c r="S16" s="24"/>
      <c r="T16" s="25">
        <f>-170</f>
        <v>-170</v>
      </c>
      <c r="U16" s="25"/>
    </row>
    <row r="17" spans="1:21" s="1" customFormat="1" ht="13.5" customHeight="1">
      <c r="A17" s="22" t="s">
        <v>46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47</v>
      </c>
      <c r="L17" s="23"/>
      <c r="M17" s="24">
        <f>111400</f>
        <v>111400</v>
      </c>
      <c r="N17" s="24"/>
      <c r="O17" s="24"/>
      <c r="P17" s="24">
        <f>111358.1</f>
        <v>111358.1</v>
      </c>
      <c r="Q17" s="24"/>
      <c r="R17" s="24"/>
      <c r="S17" s="24"/>
      <c r="T17" s="25">
        <f>41.9</f>
        <v>41.9</v>
      </c>
      <c r="U17" s="25"/>
    </row>
    <row r="18" spans="1:21" s="1" customFormat="1" ht="24" customHeight="1">
      <c r="A18" s="22" t="s">
        <v>48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49</v>
      </c>
      <c r="L18" s="23"/>
      <c r="M18" s="26" t="s">
        <v>50</v>
      </c>
      <c r="N18" s="26"/>
      <c r="O18" s="26"/>
      <c r="P18" s="24">
        <f>-3.73</f>
        <v>-3.73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52</v>
      </c>
      <c r="L19" s="23"/>
      <c r="M19" s="24">
        <f>1530000</f>
        <v>1530000</v>
      </c>
      <c r="N19" s="24"/>
      <c r="O19" s="24"/>
      <c r="P19" s="24">
        <f>446501.6</f>
        <v>446501.6</v>
      </c>
      <c r="Q19" s="24"/>
      <c r="R19" s="24"/>
      <c r="S19" s="24"/>
      <c r="T19" s="25">
        <f>1083498.4</f>
        <v>1083498.4</v>
      </c>
      <c r="U19" s="25"/>
    </row>
    <row r="20" spans="1:21" s="1" customFormat="1" ht="45" customHeight="1">
      <c r="A20" s="22" t="s">
        <v>53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54</v>
      </c>
      <c r="L20" s="23"/>
      <c r="M20" s="24">
        <f>7167500</f>
        <v>7167500</v>
      </c>
      <c r="N20" s="24"/>
      <c r="O20" s="24"/>
      <c r="P20" s="24">
        <f>1602099.11</f>
        <v>1602099.11</v>
      </c>
      <c r="Q20" s="24"/>
      <c r="R20" s="24"/>
      <c r="S20" s="24"/>
      <c r="T20" s="25">
        <f>5565400.89</f>
        <v>5565400.89</v>
      </c>
      <c r="U20" s="25"/>
    </row>
    <row r="21" spans="1:21" s="1" customFormat="1" ht="45" customHeight="1">
      <c r="A21" s="22" t="s">
        <v>55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56</v>
      </c>
      <c r="L21" s="23"/>
      <c r="M21" s="24">
        <f>4915050</f>
        <v>4915050</v>
      </c>
      <c r="N21" s="24"/>
      <c r="O21" s="24"/>
      <c r="P21" s="24">
        <f>2273607.11</f>
        <v>2273607.11</v>
      </c>
      <c r="Q21" s="24"/>
      <c r="R21" s="24"/>
      <c r="S21" s="24"/>
      <c r="T21" s="25">
        <f>2641442.89</f>
        <v>2641442.89</v>
      </c>
      <c r="U21" s="25"/>
    </row>
    <row r="22" spans="1:21" s="1" customFormat="1" ht="45" customHeight="1">
      <c r="A22" s="22" t="s">
        <v>57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58</v>
      </c>
      <c r="L22" s="23"/>
      <c r="M22" s="24">
        <f>1389000</f>
        <v>1389000</v>
      </c>
      <c r="N22" s="24"/>
      <c r="O22" s="24"/>
      <c r="P22" s="24">
        <f>1680685.26</f>
        <v>1680685.26</v>
      </c>
      <c r="Q22" s="24"/>
      <c r="R22" s="24"/>
      <c r="S22" s="24"/>
      <c r="T22" s="25">
        <f>-291685.26</f>
        <v>-291685.26</v>
      </c>
      <c r="U22" s="25"/>
    </row>
    <row r="23" spans="1:21" s="1" customFormat="1" ht="24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60</v>
      </c>
      <c r="L23" s="23"/>
      <c r="M23" s="24">
        <f>614500</f>
        <v>614500</v>
      </c>
      <c r="N23" s="24"/>
      <c r="O23" s="24"/>
      <c r="P23" s="24">
        <f>72069.73</f>
        <v>72069.73</v>
      </c>
      <c r="Q23" s="24"/>
      <c r="R23" s="24"/>
      <c r="S23" s="24"/>
      <c r="T23" s="25">
        <f>542430.27</f>
        <v>542430.27</v>
      </c>
      <c r="U23" s="25"/>
    </row>
    <row r="24" spans="1:21" s="1" customFormat="1" ht="33.75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62</v>
      </c>
      <c r="L24" s="23"/>
      <c r="M24" s="24">
        <f>350000</f>
        <v>350000</v>
      </c>
      <c r="N24" s="24"/>
      <c r="O24" s="24"/>
      <c r="P24" s="24">
        <f>130784.34</f>
        <v>130784.34</v>
      </c>
      <c r="Q24" s="24"/>
      <c r="R24" s="24"/>
      <c r="S24" s="24"/>
      <c r="T24" s="25">
        <f>219215.66</f>
        <v>219215.66</v>
      </c>
      <c r="U24" s="25"/>
    </row>
    <row r="25" spans="1:21" s="1" customFormat="1" ht="13.5" customHeight="1">
      <c r="A25" s="22" t="s">
        <v>63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64</v>
      </c>
      <c r="L25" s="23"/>
      <c r="M25" s="26" t="s">
        <v>50</v>
      </c>
      <c r="N25" s="26"/>
      <c r="O25" s="26"/>
      <c r="P25" s="24">
        <f>0</f>
        <v>0</v>
      </c>
      <c r="Q25" s="24"/>
      <c r="R25" s="24"/>
      <c r="S25" s="24"/>
      <c r="T25" s="25">
        <f>0</f>
        <v>0</v>
      </c>
      <c r="U25" s="25"/>
    </row>
    <row r="26" spans="1:21" s="1" customFormat="1" ht="13.5" customHeight="1">
      <c r="A26" s="22" t="s">
        <v>65</v>
      </c>
      <c r="B26" s="22"/>
      <c r="C26" s="22"/>
      <c r="D26" s="22"/>
      <c r="E26" s="22"/>
      <c r="F26" s="22"/>
      <c r="G26" s="22"/>
      <c r="H26" s="22"/>
      <c r="I26" s="23" t="s">
        <v>36</v>
      </c>
      <c r="J26" s="23"/>
      <c r="K26" s="23" t="s">
        <v>66</v>
      </c>
      <c r="L26" s="23"/>
      <c r="M26" s="24">
        <f>6339100</f>
        <v>6339100</v>
      </c>
      <c r="N26" s="24"/>
      <c r="O26" s="24"/>
      <c r="P26" s="24">
        <f>450200</f>
        <v>450200</v>
      </c>
      <c r="Q26" s="24"/>
      <c r="R26" s="24"/>
      <c r="S26" s="24"/>
      <c r="T26" s="25">
        <f>5888900</f>
        <v>5888900</v>
      </c>
      <c r="U26" s="25"/>
    </row>
    <row r="27" spans="1:21" s="1" customFormat="1" ht="24" customHeight="1">
      <c r="A27" s="22" t="s">
        <v>67</v>
      </c>
      <c r="B27" s="22"/>
      <c r="C27" s="22"/>
      <c r="D27" s="22"/>
      <c r="E27" s="22"/>
      <c r="F27" s="22"/>
      <c r="G27" s="22"/>
      <c r="H27" s="22"/>
      <c r="I27" s="23" t="s">
        <v>36</v>
      </c>
      <c r="J27" s="23"/>
      <c r="K27" s="23" t="s">
        <v>68</v>
      </c>
      <c r="L27" s="23"/>
      <c r="M27" s="24">
        <f>311600</f>
        <v>311600</v>
      </c>
      <c r="N27" s="24"/>
      <c r="O27" s="24"/>
      <c r="P27" s="24">
        <f>311600</f>
        <v>311600</v>
      </c>
      <c r="Q27" s="24"/>
      <c r="R27" s="24"/>
      <c r="S27" s="24"/>
      <c r="T27" s="25">
        <f>0</f>
        <v>0</v>
      </c>
      <c r="U27" s="25"/>
    </row>
    <row r="28" spans="1:21" s="1" customFormat="1" ht="24" customHeight="1">
      <c r="A28" s="22" t="s">
        <v>69</v>
      </c>
      <c r="B28" s="22"/>
      <c r="C28" s="22"/>
      <c r="D28" s="22"/>
      <c r="E28" s="22"/>
      <c r="F28" s="22"/>
      <c r="G28" s="22"/>
      <c r="H28" s="22"/>
      <c r="I28" s="23" t="s">
        <v>36</v>
      </c>
      <c r="J28" s="23"/>
      <c r="K28" s="23" t="s">
        <v>70</v>
      </c>
      <c r="L28" s="23"/>
      <c r="M28" s="24">
        <f>7350</f>
        <v>7350</v>
      </c>
      <c r="N28" s="24"/>
      <c r="O28" s="24"/>
      <c r="P28" s="24">
        <f>5511</f>
        <v>5511</v>
      </c>
      <c r="Q28" s="24"/>
      <c r="R28" s="24"/>
      <c r="S28" s="24"/>
      <c r="T28" s="25">
        <f>1839</f>
        <v>1839</v>
      </c>
      <c r="U28" s="25"/>
    </row>
    <row r="29" spans="1:21" s="1" customFormat="1" ht="13.5" customHeight="1">
      <c r="A29" s="22" t="s">
        <v>71</v>
      </c>
      <c r="B29" s="22"/>
      <c r="C29" s="22"/>
      <c r="D29" s="22"/>
      <c r="E29" s="22"/>
      <c r="F29" s="22"/>
      <c r="G29" s="22"/>
      <c r="H29" s="22"/>
      <c r="I29" s="23" t="s">
        <v>36</v>
      </c>
      <c r="J29" s="23"/>
      <c r="K29" s="23" t="s">
        <v>72</v>
      </c>
      <c r="L29" s="23"/>
      <c r="M29" s="24">
        <f>328000</f>
        <v>328000</v>
      </c>
      <c r="N29" s="24"/>
      <c r="O29" s="24"/>
      <c r="P29" s="24">
        <f>328000</f>
        <v>328000</v>
      </c>
      <c r="Q29" s="24"/>
      <c r="R29" s="24"/>
      <c r="S29" s="24"/>
      <c r="T29" s="25">
        <f>0</f>
        <v>0</v>
      </c>
      <c r="U29" s="25"/>
    </row>
    <row r="30" spans="1:21" s="1" customFormat="1" ht="13.5" customHeight="1">
      <c r="A30" s="22" t="s">
        <v>73</v>
      </c>
      <c r="B30" s="22"/>
      <c r="C30" s="22"/>
      <c r="D30" s="22"/>
      <c r="E30" s="22"/>
      <c r="F30" s="22"/>
      <c r="G30" s="22"/>
      <c r="H30" s="22"/>
      <c r="I30" s="23" t="s">
        <v>36</v>
      </c>
      <c r="J30" s="23"/>
      <c r="K30" s="23" t="s">
        <v>74</v>
      </c>
      <c r="L30" s="23"/>
      <c r="M30" s="24">
        <f>6500</f>
        <v>6500</v>
      </c>
      <c r="N30" s="24"/>
      <c r="O30" s="24"/>
      <c r="P30" s="24">
        <f>7000</f>
        <v>7000</v>
      </c>
      <c r="Q30" s="24"/>
      <c r="R30" s="24"/>
      <c r="S30" s="24"/>
      <c r="T30" s="25">
        <f>-500</f>
        <v>-500</v>
      </c>
      <c r="U30" s="25"/>
    </row>
    <row r="31" spans="1:21" s="1" customFormat="1" ht="45" customHeight="1">
      <c r="A31" s="22" t="s">
        <v>75</v>
      </c>
      <c r="B31" s="22"/>
      <c r="C31" s="22"/>
      <c r="D31" s="22"/>
      <c r="E31" s="22"/>
      <c r="F31" s="22"/>
      <c r="G31" s="22"/>
      <c r="H31" s="22"/>
      <c r="I31" s="23" t="s">
        <v>36</v>
      </c>
      <c r="J31" s="23"/>
      <c r="K31" s="23" t="s">
        <v>76</v>
      </c>
      <c r="L31" s="23"/>
      <c r="M31" s="26" t="s">
        <v>50</v>
      </c>
      <c r="N31" s="26"/>
      <c r="O31" s="26"/>
      <c r="P31" s="24">
        <f>0</f>
        <v>0</v>
      </c>
      <c r="Q31" s="24"/>
      <c r="R31" s="24"/>
      <c r="S31" s="24"/>
      <c r="T31" s="25">
        <f>0</f>
        <v>0</v>
      </c>
      <c r="U31" s="25"/>
    </row>
    <row r="32" spans="1:21" s="1" customFormat="1" ht="13.5" customHeight="1">
      <c r="A32" s="27" t="s">
        <v>11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1" customFormat="1" ht="13.5" customHeight="1">
      <c r="A33" s="11" t="s">
        <v>77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" customFormat="1" ht="34.5" customHeight="1">
      <c r="A34" s="12" t="s">
        <v>23</v>
      </c>
      <c r="B34" s="12"/>
      <c r="C34" s="12"/>
      <c r="D34" s="12"/>
      <c r="E34" s="12"/>
      <c r="F34" s="12"/>
      <c r="G34" s="12"/>
      <c r="H34" s="12"/>
      <c r="I34" s="12" t="s">
        <v>24</v>
      </c>
      <c r="J34" s="12"/>
      <c r="K34" s="12" t="s">
        <v>78</v>
      </c>
      <c r="L34" s="12"/>
      <c r="M34" s="13" t="s">
        <v>26</v>
      </c>
      <c r="N34" s="13"/>
      <c r="O34" s="13"/>
      <c r="P34" s="13" t="s">
        <v>27</v>
      </c>
      <c r="Q34" s="13"/>
      <c r="R34" s="13"/>
      <c r="S34" s="13"/>
      <c r="T34" s="14" t="s">
        <v>28</v>
      </c>
      <c r="U34" s="14"/>
    </row>
    <row r="35" spans="1:21" s="1" customFormat="1" ht="13.5" customHeight="1">
      <c r="A35" s="15" t="s">
        <v>29</v>
      </c>
      <c r="B35" s="15"/>
      <c r="C35" s="15"/>
      <c r="D35" s="15"/>
      <c r="E35" s="15"/>
      <c r="F35" s="15"/>
      <c r="G35" s="15"/>
      <c r="H35" s="15"/>
      <c r="I35" s="15" t="s">
        <v>30</v>
      </c>
      <c r="J35" s="15"/>
      <c r="K35" s="15" t="s">
        <v>31</v>
      </c>
      <c r="L35" s="15"/>
      <c r="M35" s="16" t="s">
        <v>32</v>
      </c>
      <c r="N35" s="16"/>
      <c r="O35" s="16"/>
      <c r="P35" s="16" t="s">
        <v>33</v>
      </c>
      <c r="Q35" s="16"/>
      <c r="R35" s="16"/>
      <c r="S35" s="16"/>
      <c r="T35" s="17" t="s">
        <v>34</v>
      </c>
      <c r="U35" s="17"/>
    </row>
    <row r="36" spans="1:21" s="1" customFormat="1" ht="13.5" customHeight="1">
      <c r="A36" s="18" t="s">
        <v>79</v>
      </c>
      <c r="B36" s="18"/>
      <c r="C36" s="18"/>
      <c r="D36" s="18"/>
      <c r="E36" s="18"/>
      <c r="F36" s="18"/>
      <c r="G36" s="18"/>
      <c r="H36" s="18"/>
      <c r="I36" s="19" t="s">
        <v>80</v>
      </c>
      <c r="J36" s="19"/>
      <c r="K36" s="19" t="s">
        <v>37</v>
      </c>
      <c r="L36" s="19"/>
      <c r="M36" s="20">
        <f>33598956.47</f>
        <v>33598956.47</v>
      </c>
      <c r="N36" s="20"/>
      <c r="O36" s="20"/>
      <c r="P36" s="20">
        <f>12431417.06</f>
        <v>12431417.06</v>
      </c>
      <c r="Q36" s="20"/>
      <c r="R36" s="20"/>
      <c r="S36" s="20"/>
      <c r="T36" s="21">
        <f>21167539.41</f>
        <v>21167539.41</v>
      </c>
      <c r="U36" s="21"/>
    </row>
    <row r="37" spans="1:21" s="1" customFormat="1" ht="13.5" customHeight="1">
      <c r="A37" s="28" t="s">
        <v>81</v>
      </c>
      <c r="B37" s="28"/>
      <c r="C37" s="28"/>
      <c r="D37" s="28"/>
      <c r="E37" s="28"/>
      <c r="F37" s="28"/>
      <c r="G37" s="28"/>
      <c r="H37" s="28"/>
      <c r="I37" s="29" t="s">
        <v>80</v>
      </c>
      <c r="J37" s="29"/>
      <c r="K37" s="29" t="s">
        <v>82</v>
      </c>
      <c r="L37" s="29"/>
      <c r="M37" s="30">
        <f>439200</f>
        <v>439200</v>
      </c>
      <c r="N37" s="30"/>
      <c r="O37" s="30"/>
      <c r="P37" s="30">
        <f>314537.02</f>
        <v>314537.02</v>
      </c>
      <c r="Q37" s="30"/>
      <c r="R37" s="30"/>
      <c r="S37" s="30"/>
      <c r="T37" s="31">
        <f>124662.98</f>
        <v>124662.98</v>
      </c>
      <c r="U37" s="31"/>
    </row>
    <row r="38" spans="1:21" s="1" customFormat="1" ht="13.5" customHeight="1">
      <c r="A38" s="28" t="s">
        <v>83</v>
      </c>
      <c r="B38" s="28"/>
      <c r="C38" s="28"/>
      <c r="D38" s="28"/>
      <c r="E38" s="28"/>
      <c r="F38" s="28"/>
      <c r="G38" s="28"/>
      <c r="H38" s="28"/>
      <c r="I38" s="29" t="s">
        <v>80</v>
      </c>
      <c r="J38" s="29"/>
      <c r="K38" s="29" t="s">
        <v>84</v>
      </c>
      <c r="L38" s="29"/>
      <c r="M38" s="30">
        <f>132600</f>
        <v>132600</v>
      </c>
      <c r="N38" s="30"/>
      <c r="O38" s="30"/>
      <c r="P38" s="30">
        <f>95573.73</f>
        <v>95573.73</v>
      </c>
      <c r="Q38" s="30"/>
      <c r="R38" s="30"/>
      <c r="S38" s="30"/>
      <c r="T38" s="31">
        <f>37026.27</f>
        <v>37026.27</v>
      </c>
      <c r="U38" s="31"/>
    </row>
    <row r="39" spans="1:21" s="1" customFormat="1" ht="13.5" customHeight="1">
      <c r="A39" s="28" t="s">
        <v>81</v>
      </c>
      <c r="B39" s="28"/>
      <c r="C39" s="28"/>
      <c r="D39" s="28"/>
      <c r="E39" s="28"/>
      <c r="F39" s="28"/>
      <c r="G39" s="28"/>
      <c r="H39" s="28"/>
      <c r="I39" s="29" t="s">
        <v>80</v>
      </c>
      <c r="J39" s="29"/>
      <c r="K39" s="29" t="s">
        <v>85</v>
      </c>
      <c r="L39" s="29"/>
      <c r="M39" s="30">
        <f>2402100</f>
        <v>2402100</v>
      </c>
      <c r="N39" s="30"/>
      <c r="O39" s="30"/>
      <c r="P39" s="30">
        <f>1594419.47</f>
        <v>1594419.47</v>
      </c>
      <c r="Q39" s="30"/>
      <c r="R39" s="30"/>
      <c r="S39" s="30"/>
      <c r="T39" s="31">
        <f>807680.53</f>
        <v>807680.53</v>
      </c>
      <c r="U39" s="31"/>
    </row>
    <row r="40" spans="1:21" s="1" customFormat="1" ht="13.5" customHeight="1">
      <c r="A40" s="28" t="s">
        <v>86</v>
      </c>
      <c r="B40" s="28"/>
      <c r="C40" s="28"/>
      <c r="D40" s="28"/>
      <c r="E40" s="28"/>
      <c r="F40" s="28"/>
      <c r="G40" s="28"/>
      <c r="H40" s="28"/>
      <c r="I40" s="29" t="s">
        <v>80</v>
      </c>
      <c r="J40" s="29"/>
      <c r="K40" s="29" t="s">
        <v>87</v>
      </c>
      <c r="L40" s="29"/>
      <c r="M40" s="30">
        <f>300</f>
        <v>300</v>
      </c>
      <c r="N40" s="30"/>
      <c r="O40" s="30"/>
      <c r="P40" s="30">
        <f>300</f>
        <v>300</v>
      </c>
      <c r="Q40" s="30"/>
      <c r="R40" s="30"/>
      <c r="S40" s="30"/>
      <c r="T40" s="31">
        <f>0</f>
        <v>0</v>
      </c>
      <c r="U40" s="31"/>
    </row>
    <row r="41" spans="1:21" s="1" customFormat="1" ht="13.5" customHeight="1">
      <c r="A41" s="28" t="s">
        <v>83</v>
      </c>
      <c r="B41" s="28"/>
      <c r="C41" s="28"/>
      <c r="D41" s="28"/>
      <c r="E41" s="28"/>
      <c r="F41" s="28"/>
      <c r="G41" s="28"/>
      <c r="H41" s="28"/>
      <c r="I41" s="29" t="s">
        <v>80</v>
      </c>
      <c r="J41" s="29"/>
      <c r="K41" s="29" t="s">
        <v>88</v>
      </c>
      <c r="L41" s="29"/>
      <c r="M41" s="30">
        <f>725400</f>
        <v>725400</v>
      </c>
      <c r="N41" s="30"/>
      <c r="O41" s="30"/>
      <c r="P41" s="30">
        <f>466142.67</f>
        <v>466142.67</v>
      </c>
      <c r="Q41" s="30"/>
      <c r="R41" s="30"/>
      <c r="S41" s="30"/>
      <c r="T41" s="31">
        <f>259257.33</f>
        <v>259257.33</v>
      </c>
      <c r="U41" s="31"/>
    </row>
    <row r="42" spans="1:21" s="1" customFormat="1" ht="13.5" customHeight="1">
      <c r="A42" s="28" t="s">
        <v>89</v>
      </c>
      <c r="B42" s="28"/>
      <c r="C42" s="28"/>
      <c r="D42" s="28"/>
      <c r="E42" s="28"/>
      <c r="F42" s="28"/>
      <c r="G42" s="28"/>
      <c r="H42" s="28"/>
      <c r="I42" s="29" t="s">
        <v>80</v>
      </c>
      <c r="J42" s="29"/>
      <c r="K42" s="29" t="s">
        <v>90</v>
      </c>
      <c r="L42" s="29"/>
      <c r="M42" s="30">
        <f>251650</f>
        <v>251650</v>
      </c>
      <c r="N42" s="30"/>
      <c r="O42" s="30"/>
      <c r="P42" s="30">
        <f>198289.37</f>
        <v>198289.37</v>
      </c>
      <c r="Q42" s="30"/>
      <c r="R42" s="30"/>
      <c r="S42" s="30"/>
      <c r="T42" s="31">
        <f>53360.63</f>
        <v>53360.63</v>
      </c>
      <c r="U42" s="31"/>
    </row>
    <row r="43" spans="1:21" s="1" customFormat="1" ht="13.5" customHeight="1">
      <c r="A43" s="28" t="s">
        <v>91</v>
      </c>
      <c r="B43" s="28"/>
      <c r="C43" s="28"/>
      <c r="D43" s="28"/>
      <c r="E43" s="28"/>
      <c r="F43" s="28"/>
      <c r="G43" s="28"/>
      <c r="H43" s="28"/>
      <c r="I43" s="29" t="s">
        <v>80</v>
      </c>
      <c r="J43" s="29"/>
      <c r="K43" s="29" t="s">
        <v>92</v>
      </c>
      <c r="L43" s="29"/>
      <c r="M43" s="30">
        <f>267400</f>
        <v>267400</v>
      </c>
      <c r="N43" s="30"/>
      <c r="O43" s="30"/>
      <c r="P43" s="30">
        <f>146226.75</f>
        <v>146226.75</v>
      </c>
      <c r="Q43" s="30"/>
      <c r="R43" s="30"/>
      <c r="S43" s="30"/>
      <c r="T43" s="31">
        <f>121173.25</f>
        <v>121173.25</v>
      </c>
      <c r="U43" s="31"/>
    </row>
    <row r="44" spans="1:21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9" t="s">
        <v>80</v>
      </c>
      <c r="J44" s="29"/>
      <c r="K44" s="29" t="s">
        <v>94</v>
      </c>
      <c r="L44" s="29"/>
      <c r="M44" s="30">
        <f>126600</f>
        <v>126600</v>
      </c>
      <c r="N44" s="30"/>
      <c r="O44" s="30"/>
      <c r="P44" s="30">
        <f>21953.71</f>
        <v>21953.71</v>
      </c>
      <c r="Q44" s="30"/>
      <c r="R44" s="30"/>
      <c r="S44" s="30"/>
      <c r="T44" s="31">
        <f>104646.29</f>
        <v>104646.29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80</v>
      </c>
      <c r="J45" s="29"/>
      <c r="K45" s="29" t="s">
        <v>96</v>
      </c>
      <c r="L45" s="29"/>
      <c r="M45" s="30">
        <f>752570</f>
        <v>752570</v>
      </c>
      <c r="N45" s="30"/>
      <c r="O45" s="30"/>
      <c r="P45" s="30">
        <f>589682.94</f>
        <v>589682.94</v>
      </c>
      <c r="Q45" s="30"/>
      <c r="R45" s="30"/>
      <c r="S45" s="30"/>
      <c r="T45" s="31">
        <f>162887.06</f>
        <v>162887.06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80</v>
      </c>
      <c r="J46" s="29"/>
      <c r="K46" s="29" t="s">
        <v>98</v>
      </c>
      <c r="L46" s="29"/>
      <c r="M46" s="30">
        <f>224130</f>
        <v>224130</v>
      </c>
      <c r="N46" s="30"/>
      <c r="O46" s="30"/>
      <c r="P46" s="30">
        <f>42587.5</f>
        <v>42587.5</v>
      </c>
      <c r="Q46" s="30"/>
      <c r="R46" s="30"/>
      <c r="S46" s="30"/>
      <c r="T46" s="31">
        <f>181542.5</f>
        <v>181542.5</v>
      </c>
      <c r="U46" s="31"/>
    </row>
    <row r="47" spans="1:21" s="1" customFormat="1" ht="13.5" customHeight="1">
      <c r="A47" s="28" t="s">
        <v>99</v>
      </c>
      <c r="B47" s="28"/>
      <c r="C47" s="28"/>
      <c r="D47" s="28"/>
      <c r="E47" s="28"/>
      <c r="F47" s="28"/>
      <c r="G47" s="28"/>
      <c r="H47" s="28"/>
      <c r="I47" s="29" t="s">
        <v>80</v>
      </c>
      <c r="J47" s="29"/>
      <c r="K47" s="29" t="s">
        <v>100</v>
      </c>
      <c r="L47" s="29"/>
      <c r="M47" s="30">
        <f>34070</f>
        <v>34070</v>
      </c>
      <c r="N47" s="30"/>
      <c r="O47" s="30"/>
      <c r="P47" s="30">
        <f>33880</f>
        <v>33880</v>
      </c>
      <c r="Q47" s="30"/>
      <c r="R47" s="30"/>
      <c r="S47" s="30"/>
      <c r="T47" s="31">
        <f>190</f>
        <v>190</v>
      </c>
      <c r="U47" s="31"/>
    </row>
    <row r="48" spans="1:21" s="1" customFormat="1" ht="13.5" customHeight="1">
      <c r="A48" s="28" t="s">
        <v>101</v>
      </c>
      <c r="B48" s="28"/>
      <c r="C48" s="28"/>
      <c r="D48" s="28"/>
      <c r="E48" s="28"/>
      <c r="F48" s="28"/>
      <c r="G48" s="28"/>
      <c r="H48" s="28"/>
      <c r="I48" s="29" t="s">
        <v>80</v>
      </c>
      <c r="J48" s="29"/>
      <c r="K48" s="29" t="s">
        <v>102</v>
      </c>
      <c r="L48" s="29"/>
      <c r="M48" s="30">
        <f>324800</f>
        <v>324800</v>
      </c>
      <c r="N48" s="30"/>
      <c r="O48" s="30"/>
      <c r="P48" s="30">
        <f>179160.8</f>
        <v>179160.8</v>
      </c>
      <c r="Q48" s="30"/>
      <c r="R48" s="30"/>
      <c r="S48" s="30"/>
      <c r="T48" s="31">
        <f>145639.2</f>
        <v>145639.2</v>
      </c>
      <c r="U48" s="31"/>
    </row>
    <row r="49" spans="1:21" s="1" customFormat="1" ht="13.5" customHeight="1">
      <c r="A49" s="28" t="s">
        <v>103</v>
      </c>
      <c r="B49" s="28"/>
      <c r="C49" s="28"/>
      <c r="D49" s="28"/>
      <c r="E49" s="28"/>
      <c r="F49" s="28"/>
      <c r="G49" s="28"/>
      <c r="H49" s="28"/>
      <c r="I49" s="29" t="s">
        <v>80</v>
      </c>
      <c r="J49" s="29"/>
      <c r="K49" s="29" t="s">
        <v>104</v>
      </c>
      <c r="L49" s="29"/>
      <c r="M49" s="30">
        <f>91130</f>
        <v>91130</v>
      </c>
      <c r="N49" s="30"/>
      <c r="O49" s="30"/>
      <c r="P49" s="30">
        <f>15000</f>
        <v>15000</v>
      </c>
      <c r="Q49" s="30"/>
      <c r="R49" s="30"/>
      <c r="S49" s="30"/>
      <c r="T49" s="31">
        <f>76130</f>
        <v>76130</v>
      </c>
      <c r="U49" s="31"/>
    </row>
    <row r="50" spans="1:21" s="1" customFormat="1" ht="13.5" customHeight="1">
      <c r="A50" s="28" t="s">
        <v>97</v>
      </c>
      <c r="B50" s="28"/>
      <c r="C50" s="28"/>
      <c r="D50" s="28"/>
      <c r="E50" s="28"/>
      <c r="F50" s="28"/>
      <c r="G50" s="28"/>
      <c r="H50" s="28"/>
      <c r="I50" s="29" t="s">
        <v>80</v>
      </c>
      <c r="J50" s="29"/>
      <c r="K50" s="29" t="s">
        <v>105</v>
      </c>
      <c r="L50" s="29"/>
      <c r="M50" s="30">
        <f>150000</f>
        <v>150000</v>
      </c>
      <c r="N50" s="30"/>
      <c r="O50" s="30"/>
      <c r="P50" s="32" t="s">
        <v>50</v>
      </c>
      <c r="Q50" s="32"/>
      <c r="R50" s="32"/>
      <c r="S50" s="32"/>
      <c r="T50" s="31">
        <f>150000</f>
        <v>150000</v>
      </c>
      <c r="U50" s="31"/>
    </row>
    <row r="51" spans="1:21" s="1" customFormat="1" ht="13.5" customHeight="1">
      <c r="A51" s="28" t="s">
        <v>101</v>
      </c>
      <c r="B51" s="28"/>
      <c r="C51" s="28"/>
      <c r="D51" s="28"/>
      <c r="E51" s="28"/>
      <c r="F51" s="28"/>
      <c r="G51" s="28"/>
      <c r="H51" s="28"/>
      <c r="I51" s="29" t="s">
        <v>80</v>
      </c>
      <c r="J51" s="29"/>
      <c r="K51" s="29" t="s">
        <v>106</v>
      </c>
      <c r="L51" s="29"/>
      <c r="M51" s="30">
        <f>7350</f>
        <v>7350</v>
      </c>
      <c r="N51" s="30"/>
      <c r="O51" s="30"/>
      <c r="P51" s="30">
        <f>4737</f>
        <v>4737</v>
      </c>
      <c r="Q51" s="30"/>
      <c r="R51" s="30"/>
      <c r="S51" s="30"/>
      <c r="T51" s="31">
        <f>2613</f>
        <v>2613</v>
      </c>
      <c r="U51" s="31"/>
    </row>
    <row r="52" spans="1:21" s="1" customFormat="1" ht="13.5" customHeight="1">
      <c r="A52" s="28" t="s">
        <v>81</v>
      </c>
      <c r="B52" s="28"/>
      <c r="C52" s="28"/>
      <c r="D52" s="28"/>
      <c r="E52" s="28"/>
      <c r="F52" s="28"/>
      <c r="G52" s="28"/>
      <c r="H52" s="28"/>
      <c r="I52" s="29" t="s">
        <v>80</v>
      </c>
      <c r="J52" s="29"/>
      <c r="K52" s="29" t="s">
        <v>107</v>
      </c>
      <c r="L52" s="29"/>
      <c r="M52" s="30">
        <f>925162.46</f>
        <v>925162.46</v>
      </c>
      <c r="N52" s="30"/>
      <c r="O52" s="30"/>
      <c r="P52" s="30">
        <f>476694.11</f>
        <v>476694.11</v>
      </c>
      <c r="Q52" s="30"/>
      <c r="R52" s="30"/>
      <c r="S52" s="30"/>
      <c r="T52" s="31">
        <f>448468.35</f>
        <v>448468.35</v>
      </c>
      <c r="U52" s="31"/>
    </row>
    <row r="53" spans="1:21" s="1" customFormat="1" ht="13.5" customHeight="1">
      <c r="A53" s="28" t="s">
        <v>83</v>
      </c>
      <c r="B53" s="28"/>
      <c r="C53" s="28"/>
      <c r="D53" s="28"/>
      <c r="E53" s="28"/>
      <c r="F53" s="28"/>
      <c r="G53" s="28"/>
      <c r="H53" s="28"/>
      <c r="I53" s="29" t="s">
        <v>80</v>
      </c>
      <c r="J53" s="29"/>
      <c r="K53" s="29" t="s">
        <v>108</v>
      </c>
      <c r="L53" s="29"/>
      <c r="M53" s="30">
        <f>279400</f>
        <v>279400</v>
      </c>
      <c r="N53" s="30"/>
      <c r="O53" s="30"/>
      <c r="P53" s="30">
        <f>130794.77</f>
        <v>130794.77</v>
      </c>
      <c r="Q53" s="30"/>
      <c r="R53" s="30"/>
      <c r="S53" s="30"/>
      <c r="T53" s="31">
        <f>148605.23</f>
        <v>148605.23</v>
      </c>
      <c r="U53" s="31"/>
    </row>
    <row r="54" spans="1:21" s="1" customFormat="1" ht="13.5" customHeight="1">
      <c r="A54" s="28" t="s">
        <v>97</v>
      </c>
      <c r="B54" s="28"/>
      <c r="C54" s="28"/>
      <c r="D54" s="28"/>
      <c r="E54" s="28"/>
      <c r="F54" s="28"/>
      <c r="G54" s="28"/>
      <c r="H54" s="28"/>
      <c r="I54" s="29" t="s">
        <v>80</v>
      </c>
      <c r="J54" s="29"/>
      <c r="K54" s="29" t="s">
        <v>109</v>
      </c>
      <c r="L54" s="29"/>
      <c r="M54" s="30">
        <f>37.54</f>
        <v>37.54</v>
      </c>
      <c r="N54" s="30"/>
      <c r="O54" s="30"/>
      <c r="P54" s="32" t="s">
        <v>50</v>
      </c>
      <c r="Q54" s="32"/>
      <c r="R54" s="32"/>
      <c r="S54" s="32"/>
      <c r="T54" s="31">
        <f>37.54</f>
        <v>37.54</v>
      </c>
      <c r="U54" s="31"/>
    </row>
    <row r="55" spans="1:21" s="1" customFormat="1" ht="13.5" customHeight="1">
      <c r="A55" s="28" t="s">
        <v>95</v>
      </c>
      <c r="B55" s="28"/>
      <c r="C55" s="28"/>
      <c r="D55" s="28"/>
      <c r="E55" s="28"/>
      <c r="F55" s="28"/>
      <c r="G55" s="28"/>
      <c r="H55" s="28"/>
      <c r="I55" s="29" t="s">
        <v>80</v>
      </c>
      <c r="J55" s="29"/>
      <c r="K55" s="29" t="s">
        <v>110</v>
      </c>
      <c r="L55" s="29"/>
      <c r="M55" s="30">
        <f>25000</f>
        <v>25000</v>
      </c>
      <c r="N55" s="30"/>
      <c r="O55" s="30"/>
      <c r="P55" s="32" t="s">
        <v>50</v>
      </c>
      <c r="Q55" s="32"/>
      <c r="R55" s="32"/>
      <c r="S55" s="32"/>
      <c r="T55" s="31">
        <f>25000</f>
        <v>25000</v>
      </c>
      <c r="U55" s="31"/>
    </row>
    <row r="56" spans="1:21" s="1" customFormat="1" ht="13.5" customHeight="1">
      <c r="A56" s="28" t="s">
        <v>81</v>
      </c>
      <c r="B56" s="28"/>
      <c r="C56" s="28"/>
      <c r="D56" s="28"/>
      <c r="E56" s="28"/>
      <c r="F56" s="28"/>
      <c r="G56" s="28"/>
      <c r="H56" s="28"/>
      <c r="I56" s="29" t="s">
        <v>80</v>
      </c>
      <c r="J56" s="29"/>
      <c r="K56" s="29" t="s">
        <v>111</v>
      </c>
      <c r="L56" s="29"/>
      <c r="M56" s="30">
        <f>2112300</f>
        <v>2112300</v>
      </c>
      <c r="N56" s="30"/>
      <c r="O56" s="30"/>
      <c r="P56" s="30">
        <f>1187464.22</f>
        <v>1187464.22</v>
      </c>
      <c r="Q56" s="30"/>
      <c r="R56" s="30"/>
      <c r="S56" s="30"/>
      <c r="T56" s="31">
        <f>924835.78</f>
        <v>924835.78</v>
      </c>
      <c r="U56" s="31"/>
    </row>
    <row r="57" spans="1:21" s="1" customFormat="1" ht="13.5" customHeight="1">
      <c r="A57" s="28" t="s">
        <v>83</v>
      </c>
      <c r="B57" s="28"/>
      <c r="C57" s="28"/>
      <c r="D57" s="28"/>
      <c r="E57" s="28"/>
      <c r="F57" s="28"/>
      <c r="G57" s="28"/>
      <c r="H57" s="28"/>
      <c r="I57" s="29" t="s">
        <v>80</v>
      </c>
      <c r="J57" s="29"/>
      <c r="K57" s="29" t="s">
        <v>112</v>
      </c>
      <c r="L57" s="29"/>
      <c r="M57" s="30">
        <f>637900</f>
        <v>637900</v>
      </c>
      <c r="N57" s="30"/>
      <c r="O57" s="30"/>
      <c r="P57" s="30">
        <f>337921.86</f>
        <v>337921.86</v>
      </c>
      <c r="Q57" s="30"/>
      <c r="R57" s="30"/>
      <c r="S57" s="30"/>
      <c r="T57" s="31">
        <f>299978.14</f>
        <v>299978.14</v>
      </c>
      <c r="U57" s="31"/>
    </row>
    <row r="58" spans="1:21" s="1" customFormat="1" ht="13.5" customHeight="1">
      <c r="A58" s="28" t="s">
        <v>93</v>
      </c>
      <c r="B58" s="28"/>
      <c r="C58" s="28"/>
      <c r="D58" s="28"/>
      <c r="E58" s="28"/>
      <c r="F58" s="28"/>
      <c r="G58" s="28"/>
      <c r="H58" s="28"/>
      <c r="I58" s="29" t="s">
        <v>80</v>
      </c>
      <c r="J58" s="29"/>
      <c r="K58" s="29" t="s">
        <v>113</v>
      </c>
      <c r="L58" s="29"/>
      <c r="M58" s="30">
        <f>1520</f>
        <v>1520</v>
      </c>
      <c r="N58" s="30"/>
      <c r="O58" s="30"/>
      <c r="P58" s="30">
        <f>1290</f>
        <v>1290</v>
      </c>
      <c r="Q58" s="30"/>
      <c r="R58" s="30"/>
      <c r="S58" s="30"/>
      <c r="T58" s="31">
        <f>230</f>
        <v>230</v>
      </c>
      <c r="U58" s="31"/>
    </row>
    <row r="59" spans="1:21" s="1" customFormat="1" ht="13.5" customHeight="1">
      <c r="A59" s="28" t="s">
        <v>95</v>
      </c>
      <c r="B59" s="28"/>
      <c r="C59" s="28"/>
      <c r="D59" s="28"/>
      <c r="E59" s="28"/>
      <c r="F59" s="28"/>
      <c r="G59" s="28"/>
      <c r="H59" s="28"/>
      <c r="I59" s="29" t="s">
        <v>80</v>
      </c>
      <c r="J59" s="29"/>
      <c r="K59" s="29" t="s">
        <v>114</v>
      </c>
      <c r="L59" s="29"/>
      <c r="M59" s="30">
        <f>8500</f>
        <v>8500</v>
      </c>
      <c r="N59" s="30"/>
      <c r="O59" s="30"/>
      <c r="P59" s="30">
        <f>4932.5</f>
        <v>4932.5</v>
      </c>
      <c r="Q59" s="30"/>
      <c r="R59" s="30"/>
      <c r="S59" s="30"/>
      <c r="T59" s="31">
        <f>3567.5</f>
        <v>3567.5</v>
      </c>
      <c r="U59" s="31"/>
    </row>
    <row r="60" spans="1:21" s="1" customFormat="1" ht="13.5" customHeight="1">
      <c r="A60" s="28" t="s">
        <v>97</v>
      </c>
      <c r="B60" s="28"/>
      <c r="C60" s="28"/>
      <c r="D60" s="28"/>
      <c r="E60" s="28"/>
      <c r="F60" s="28"/>
      <c r="G60" s="28"/>
      <c r="H60" s="28"/>
      <c r="I60" s="29" t="s">
        <v>80</v>
      </c>
      <c r="J60" s="29"/>
      <c r="K60" s="29" t="s">
        <v>115</v>
      </c>
      <c r="L60" s="29"/>
      <c r="M60" s="30">
        <f>129300</f>
        <v>129300</v>
      </c>
      <c r="N60" s="30"/>
      <c r="O60" s="30"/>
      <c r="P60" s="30">
        <f>6192</f>
        <v>6192</v>
      </c>
      <c r="Q60" s="30"/>
      <c r="R60" s="30"/>
      <c r="S60" s="30"/>
      <c r="T60" s="31">
        <f>123108</f>
        <v>123108</v>
      </c>
      <c r="U60" s="31"/>
    </row>
    <row r="61" spans="1:21" s="1" customFormat="1" ht="13.5" customHeight="1">
      <c r="A61" s="28" t="s">
        <v>101</v>
      </c>
      <c r="B61" s="28"/>
      <c r="C61" s="28"/>
      <c r="D61" s="28"/>
      <c r="E61" s="28"/>
      <c r="F61" s="28"/>
      <c r="G61" s="28"/>
      <c r="H61" s="28"/>
      <c r="I61" s="29" t="s">
        <v>80</v>
      </c>
      <c r="J61" s="29"/>
      <c r="K61" s="29" t="s">
        <v>116</v>
      </c>
      <c r="L61" s="29"/>
      <c r="M61" s="30">
        <f>370580</f>
        <v>370580</v>
      </c>
      <c r="N61" s="30"/>
      <c r="O61" s="30"/>
      <c r="P61" s="30">
        <f>171764.87</f>
        <v>171764.87</v>
      </c>
      <c r="Q61" s="30"/>
      <c r="R61" s="30"/>
      <c r="S61" s="30"/>
      <c r="T61" s="31">
        <f>198815.13</f>
        <v>198815.13</v>
      </c>
      <c r="U61" s="31"/>
    </row>
    <row r="62" spans="1:21" s="1" customFormat="1" ht="13.5" customHeight="1">
      <c r="A62" s="28" t="s">
        <v>97</v>
      </c>
      <c r="B62" s="28"/>
      <c r="C62" s="28"/>
      <c r="D62" s="28"/>
      <c r="E62" s="28"/>
      <c r="F62" s="28"/>
      <c r="G62" s="28"/>
      <c r="H62" s="28"/>
      <c r="I62" s="29" t="s">
        <v>80</v>
      </c>
      <c r="J62" s="29"/>
      <c r="K62" s="29" t="s">
        <v>117</v>
      </c>
      <c r="L62" s="29"/>
      <c r="M62" s="30">
        <f>249600</f>
        <v>249600</v>
      </c>
      <c r="N62" s="30"/>
      <c r="O62" s="30"/>
      <c r="P62" s="30">
        <f>142896</f>
        <v>142896</v>
      </c>
      <c r="Q62" s="30"/>
      <c r="R62" s="30"/>
      <c r="S62" s="30"/>
      <c r="T62" s="31">
        <f>106704</f>
        <v>106704</v>
      </c>
      <c r="U62" s="31"/>
    </row>
    <row r="63" spans="1:21" s="1" customFormat="1" ht="13.5" customHeight="1">
      <c r="A63" s="28" t="s">
        <v>81</v>
      </c>
      <c r="B63" s="28"/>
      <c r="C63" s="28"/>
      <c r="D63" s="28"/>
      <c r="E63" s="28"/>
      <c r="F63" s="28"/>
      <c r="G63" s="28"/>
      <c r="H63" s="28"/>
      <c r="I63" s="29" t="s">
        <v>80</v>
      </c>
      <c r="J63" s="29"/>
      <c r="K63" s="29" t="s">
        <v>118</v>
      </c>
      <c r="L63" s="29"/>
      <c r="M63" s="30">
        <f>221100</f>
        <v>221100</v>
      </c>
      <c r="N63" s="30"/>
      <c r="O63" s="30"/>
      <c r="P63" s="30">
        <f>148521.61</f>
        <v>148521.61</v>
      </c>
      <c r="Q63" s="30"/>
      <c r="R63" s="30"/>
      <c r="S63" s="30"/>
      <c r="T63" s="31">
        <f>72578.39</f>
        <v>72578.39</v>
      </c>
      <c r="U63" s="31"/>
    </row>
    <row r="64" spans="1:21" s="1" customFormat="1" ht="13.5" customHeight="1">
      <c r="A64" s="28" t="s">
        <v>83</v>
      </c>
      <c r="B64" s="28"/>
      <c r="C64" s="28"/>
      <c r="D64" s="28"/>
      <c r="E64" s="28"/>
      <c r="F64" s="28"/>
      <c r="G64" s="28"/>
      <c r="H64" s="28"/>
      <c r="I64" s="29" t="s">
        <v>80</v>
      </c>
      <c r="J64" s="29"/>
      <c r="K64" s="29" t="s">
        <v>119</v>
      </c>
      <c r="L64" s="29"/>
      <c r="M64" s="30">
        <f>90500</f>
        <v>90500</v>
      </c>
      <c r="N64" s="30"/>
      <c r="O64" s="30"/>
      <c r="P64" s="30">
        <f>40407.29</f>
        <v>40407.29</v>
      </c>
      <c r="Q64" s="30"/>
      <c r="R64" s="30"/>
      <c r="S64" s="30"/>
      <c r="T64" s="31">
        <f>50092.71</f>
        <v>50092.71</v>
      </c>
      <c r="U64" s="31"/>
    </row>
    <row r="65" spans="1:21" s="1" customFormat="1" ht="13.5" customHeight="1">
      <c r="A65" s="28" t="s">
        <v>97</v>
      </c>
      <c r="B65" s="28"/>
      <c r="C65" s="28"/>
      <c r="D65" s="28"/>
      <c r="E65" s="28"/>
      <c r="F65" s="28"/>
      <c r="G65" s="28"/>
      <c r="H65" s="28"/>
      <c r="I65" s="29" t="s">
        <v>80</v>
      </c>
      <c r="J65" s="29"/>
      <c r="K65" s="29" t="s">
        <v>120</v>
      </c>
      <c r="L65" s="29"/>
      <c r="M65" s="30">
        <f>560182.34</f>
        <v>560182.34</v>
      </c>
      <c r="N65" s="30"/>
      <c r="O65" s="30"/>
      <c r="P65" s="32" t="s">
        <v>50</v>
      </c>
      <c r="Q65" s="32"/>
      <c r="R65" s="32"/>
      <c r="S65" s="32"/>
      <c r="T65" s="31">
        <f>560182.34</f>
        <v>560182.34</v>
      </c>
      <c r="U65" s="31"/>
    </row>
    <row r="66" spans="1:21" s="1" customFormat="1" ht="13.5" customHeight="1">
      <c r="A66" s="28" t="s">
        <v>101</v>
      </c>
      <c r="B66" s="28"/>
      <c r="C66" s="28"/>
      <c r="D66" s="28"/>
      <c r="E66" s="28"/>
      <c r="F66" s="28"/>
      <c r="G66" s="28"/>
      <c r="H66" s="28"/>
      <c r="I66" s="29" t="s">
        <v>80</v>
      </c>
      <c r="J66" s="29"/>
      <c r="K66" s="29" t="s">
        <v>121</v>
      </c>
      <c r="L66" s="29"/>
      <c r="M66" s="30">
        <f>13517.66</f>
        <v>13517.66</v>
      </c>
      <c r="N66" s="30"/>
      <c r="O66" s="30"/>
      <c r="P66" s="32" t="s">
        <v>50</v>
      </c>
      <c r="Q66" s="32"/>
      <c r="R66" s="32"/>
      <c r="S66" s="32"/>
      <c r="T66" s="31">
        <f>13517.66</f>
        <v>13517.66</v>
      </c>
      <c r="U66" s="31"/>
    </row>
    <row r="67" spans="1:21" s="1" customFormat="1" ht="13.5" customHeight="1">
      <c r="A67" s="28" t="s">
        <v>103</v>
      </c>
      <c r="B67" s="28"/>
      <c r="C67" s="28"/>
      <c r="D67" s="28"/>
      <c r="E67" s="28"/>
      <c r="F67" s="28"/>
      <c r="G67" s="28"/>
      <c r="H67" s="28"/>
      <c r="I67" s="29" t="s">
        <v>80</v>
      </c>
      <c r="J67" s="29"/>
      <c r="K67" s="29" t="s">
        <v>122</v>
      </c>
      <c r="L67" s="29"/>
      <c r="M67" s="30">
        <f>0</f>
        <v>0</v>
      </c>
      <c r="N67" s="30"/>
      <c r="O67" s="30"/>
      <c r="P67" s="32" t="s">
        <v>50</v>
      </c>
      <c r="Q67" s="32"/>
      <c r="R67" s="32"/>
      <c r="S67" s="32"/>
      <c r="T67" s="31">
        <f>0</f>
        <v>0</v>
      </c>
      <c r="U67" s="31"/>
    </row>
    <row r="68" spans="1:21" s="1" customFormat="1" ht="13.5" customHeight="1">
      <c r="A68" s="28" t="s">
        <v>97</v>
      </c>
      <c r="B68" s="28"/>
      <c r="C68" s="28"/>
      <c r="D68" s="28"/>
      <c r="E68" s="28"/>
      <c r="F68" s="28"/>
      <c r="G68" s="28"/>
      <c r="H68" s="28"/>
      <c r="I68" s="29" t="s">
        <v>80</v>
      </c>
      <c r="J68" s="29"/>
      <c r="K68" s="29" t="s">
        <v>123</v>
      </c>
      <c r="L68" s="29"/>
      <c r="M68" s="30">
        <f>32200</f>
        <v>32200</v>
      </c>
      <c r="N68" s="30"/>
      <c r="O68" s="30"/>
      <c r="P68" s="32" t="s">
        <v>50</v>
      </c>
      <c r="Q68" s="32"/>
      <c r="R68" s="32"/>
      <c r="S68" s="32"/>
      <c r="T68" s="31">
        <f>32200</f>
        <v>32200</v>
      </c>
      <c r="U68" s="31"/>
    </row>
    <row r="69" spans="1:21" s="1" customFormat="1" ht="13.5" customHeight="1">
      <c r="A69" s="28" t="s">
        <v>95</v>
      </c>
      <c r="B69" s="28"/>
      <c r="C69" s="28"/>
      <c r="D69" s="28"/>
      <c r="E69" s="28"/>
      <c r="F69" s="28"/>
      <c r="G69" s="28"/>
      <c r="H69" s="28"/>
      <c r="I69" s="29" t="s">
        <v>80</v>
      </c>
      <c r="J69" s="29"/>
      <c r="K69" s="29" t="s">
        <v>124</v>
      </c>
      <c r="L69" s="29"/>
      <c r="M69" s="30">
        <f>25500</f>
        <v>25500</v>
      </c>
      <c r="N69" s="30"/>
      <c r="O69" s="30"/>
      <c r="P69" s="32" t="s">
        <v>50</v>
      </c>
      <c r="Q69" s="32"/>
      <c r="R69" s="32"/>
      <c r="S69" s="32"/>
      <c r="T69" s="31">
        <f>25500</f>
        <v>25500</v>
      </c>
      <c r="U69" s="31"/>
    </row>
    <row r="70" spans="1:21" s="1" customFormat="1" ht="13.5" customHeight="1">
      <c r="A70" s="28" t="s">
        <v>97</v>
      </c>
      <c r="B70" s="28"/>
      <c r="C70" s="28"/>
      <c r="D70" s="28"/>
      <c r="E70" s="28"/>
      <c r="F70" s="28"/>
      <c r="G70" s="28"/>
      <c r="H70" s="28"/>
      <c r="I70" s="29" t="s">
        <v>80</v>
      </c>
      <c r="J70" s="29"/>
      <c r="K70" s="29" t="s">
        <v>125</v>
      </c>
      <c r="L70" s="29"/>
      <c r="M70" s="30">
        <f>31200</f>
        <v>31200</v>
      </c>
      <c r="N70" s="30"/>
      <c r="O70" s="30"/>
      <c r="P70" s="32" t="s">
        <v>50</v>
      </c>
      <c r="Q70" s="32"/>
      <c r="R70" s="32"/>
      <c r="S70" s="32"/>
      <c r="T70" s="31">
        <f>31200</f>
        <v>31200</v>
      </c>
      <c r="U70" s="31"/>
    </row>
    <row r="71" spans="1:21" s="1" customFormat="1" ht="13.5" customHeight="1">
      <c r="A71" s="28" t="s">
        <v>93</v>
      </c>
      <c r="B71" s="28"/>
      <c r="C71" s="28"/>
      <c r="D71" s="28"/>
      <c r="E71" s="28"/>
      <c r="F71" s="28"/>
      <c r="G71" s="28"/>
      <c r="H71" s="28"/>
      <c r="I71" s="29" t="s">
        <v>80</v>
      </c>
      <c r="J71" s="29"/>
      <c r="K71" s="29" t="s">
        <v>126</v>
      </c>
      <c r="L71" s="29"/>
      <c r="M71" s="30">
        <f>851145.19</f>
        <v>851145.19</v>
      </c>
      <c r="N71" s="30"/>
      <c r="O71" s="30"/>
      <c r="P71" s="30">
        <f>308240.66</f>
        <v>308240.66</v>
      </c>
      <c r="Q71" s="30"/>
      <c r="R71" s="30"/>
      <c r="S71" s="30"/>
      <c r="T71" s="31">
        <f>542904.53</f>
        <v>542904.53</v>
      </c>
      <c r="U71" s="31"/>
    </row>
    <row r="72" spans="1:21" s="1" customFormat="1" ht="13.5" customHeight="1">
      <c r="A72" s="28" t="s">
        <v>95</v>
      </c>
      <c r="B72" s="28"/>
      <c r="C72" s="28"/>
      <c r="D72" s="28"/>
      <c r="E72" s="28"/>
      <c r="F72" s="28"/>
      <c r="G72" s="28"/>
      <c r="H72" s="28"/>
      <c r="I72" s="29" t="s">
        <v>80</v>
      </c>
      <c r="J72" s="29"/>
      <c r="K72" s="29" t="s">
        <v>127</v>
      </c>
      <c r="L72" s="29"/>
      <c r="M72" s="30">
        <f>111775.81</f>
        <v>111775.81</v>
      </c>
      <c r="N72" s="30"/>
      <c r="O72" s="30"/>
      <c r="P72" s="30">
        <f>111765.65</f>
        <v>111765.65</v>
      </c>
      <c r="Q72" s="30"/>
      <c r="R72" s="30"/>
      <c r="S72" s="30"/>
      <c r="T72" s="31">
        <f>10.16</f>
        <v>10.16</v>
      </c>
      <c r="U72" s="31"/>
    </row>
    <row r="73" spans="1:21" s="1" customFormat="1" ht="13.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9" t="s">
        <v>80</v>
      </c>
      <c r="J73" s="29"/>
      <c r="K73" s="29" t="s">
        <v>128</v>
      </c>
      <c r="L73" s="29"/>
      <c r="M73" s="30">
        <f>0</f>
        <v>0</v>
      </c>
      <c r="N73" s="30"/>
      <c r="O73" s="30"/>
      <c r="P73" s="32" t="s">
        <v>50</v>
      </c>
      <c r="Q73" s="32"/>
      <c r="R73" s="32"/>
      <c r="S73" s="32"/>
      <c r="T73" s="31">
        <f>0</f>
        <v>0</v>
      </c>
      <c r="U73" s="31"/>
    </row>
    <row r="74" spans="1:21" s="1" customFormat="1" ht="13.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9" t="s">
        <v>80</v>
      </c>
      <c r="J74" s="29"/>
      <c r="K74" s="29" t="s">
        <v>129</v>
      </c>
      <c r="L74" s="29"/>
      <c r="M74" s="30">
        <f>3516000</f>
        <v>3516000</v>
      </c>
      <c r="N74" s="30"/>
      <c r="O74" s="30"/>
      <c r="P74" s="32" t="s">
        <v>50</v>
      </c>
      <c r="Q74" s="32"/>
      <c r="R74" s="32"/>
      <c r="S74" s="32"/>
      <c r="T74" s="31">
        <f>3516000</f>
        <v>3516000</v>
      </c>
      <c r="U74" s="31"/>
    </row>
    <row r="75" spans="1:21" s="1" customFormat="1" ht="13.5" customHeight="1">
      <c r="A75" s="28" t="s">
        <v>93</v>
      </c>
      <c r="B75" s="28"/>
      <c r="C75" s="28"/>
      <c r="D75" s="28"/>
      <c r="E75" s="28"/>
      <c r="F75" s="28"/>
      <c r="G75" s="28"/>
      <c r="H75" s="28"/>
      <c r="I75" s="29" t="s">
        <v>80</v>
      </c>
      <c r="J75" s="29"/>
      <c r="K75" s="29" t="s">
        <v>130</v>
      </c>
      <c r="L75" s="29"/>
      <c r="M75" s="30">
        <f>0</f>
        <v>0</v>
      </c>
      <c r="N75" s="30"/>
      <c r="O75" s="30"/>
      <c r="P75" s="32" t="s">
        <v>50</v>
      </c>
      <c r="Q75" s="32"/>
      <c r="R75" s="32"/>
      <c r="S75" s="32"/>
      <c r="T75" s="31">
        <f>0</f>
        <v>0</v>
      </c>
      <c r="U75" s="31"/>
    </row>
    <row r="76" spans="1:21" s="1" customFormat="1" ht="13.5" customHeight="1">
      <c r="A76" s="28" t="s">
        <v>93</v>
      </c>
      <c r="B76" s="28"/>
      <c r="C76" s="28"/>
      <c r="D76" s="28"/>
      <c r="E76" s="28"/>
      <c r="F76" s="28"/>
      <c r="G76" s="28"/>
      <c r="H76" s="28"/>
      <c r="I76" s="29" t="s">
        <v>80</v>
      </c>
      <c r="J76" s="29"/>
      <c r="K76" s="29" t="s">
        <v>131</v>
      </c>
      <c r="L76" s="29"/>
      <c r="M76" s="30">
        <f>1830000</f>
        <v>1830000</v>
      </c>
      <c r="N76" s="30"/>
      <c r="O76" s="30"/>
      <c r="P76" s="32" t="s">
        <v>50</v>
      </c>
      <c r="Q76" s="32"/>
      <c r="R76" s="32"/>
      <c r="S76" s="32"/>
      <c r="T76" s="31">
        <f>1830000</f>
        <v>1830000</v>
      </c>
      <c r="U76" s="31"/>
    </row>
    <row r="77" spans="1:21" s="1" customFormat="1" ht="13.5" customHeight="1">
      <c r="A77" s="28" t="s">
        <v>93</v>
      </c>
      <c r="B77" s="28"/>
      <c r="C77" s="28"/>
      <c r="D77" s="28"/>
      <c r="E77" s="28"/>
      <c r="F77" s="28"/>
      <c r="G77" s="28"/>
      <c r="H77" s="28"/>
      <c r="I77" s="29" t="s">
        <v>80</v>
      </c>
      <c r="J77" s="29"/>
      <c r="K77" s="29" t="s">
        <v>132</v>
      </c>
      <c r="L77" s="29"/>
      <c r="M77" s="30">
        <f>2000000</f>
        <v>2000000</v>
      </c>
      <c r="N77" s="30"/>
      <c r="O77" s="30"/>
      <c r="P77" s="32" t="s">
        <v>50</v>
      </c>
      <c r="Q77" s="32"/>
      <c r="R77" s="32"/>
      <c r="S77" s="32"/>
      <c r="T77" s="31">
        <f>2000000</f>
        <v>2000000</v>
      </c>
      <c r="U77" s="31"/>
    </row>
    <row r="78" spans="1:21" s="1" customFormat="1" ht="13.5" customHeight="1">
      <c r="A78" s="28" t="s">
        <v>95</v>
      </c>
      <c r="B78" s="28"/>
      <c r="C78" s="28"/>
      <c r="D78" s="28"/>
      <c r="E78" s="28"/>
      <c r="F78" s="28"/>
      <c r="G78" s="28"/>
      <c r="H78" s="28"/>
      <c r="I78" s="29" t="s">
        <v>80</v>
      </c>
      <c r="J78" s="29"/>
      <c r="K78" s="29" t="s">
        <v>133</v>
      </c>
      <c r="L78" s="29"/>
      <c r="M78" s="30">
        <f>100000</f>
        <v>100000</v>
      </c>
      <c r="N78" s="30"/>
      <c r="O78" s="30"/>
      <c r="P78" s="30">
        <f>20000</f>
        <v>20000</v>
      </c>
      <c r="Q78" s="30"/>
      <c r="R78" s="30"/>
      <c r="S78" s="30"/>
      <c r="T78" s="31">
        <f>80000</f>
        <v>80000</v>
      </c>
      <c r="U78" s="31"/>
    </row>
    <row r="79" spans="1:21" s="1" customFormat="1" ht="13.5" customHeight="1">
      <c r="A79" s="28" t="s">
        <v>97</v>
      </c>
      <c r="B79" s="28"/>
      <c r="C79" s="28"/>
      <c r="D79" s="28"/>
      <c r="E79" s="28"/>
      <c r="F79" s="28"/>
      <c r="G79" s="28"/>
      <c r="H79" s="28"/>
      <c r="I79" s="29" t="s">
        <v>80</v>
      </c>
      <c r="J79" s="29"/>
      <c r="K79" s="29" t="s">
        <v>134</v>
      </c>
      <c r="L79" s="29"/>
      <c r="M79" s="30">
        <f>10000</f>
        <v>10000</v>
      </c>
      <c r="N79" s="30"/>
      <c r="O79" s="30"/>
      <c r="P79" s="32" t="s">
        <v>50</v>
      </c>
      <c r="Q79" s="32"/>
      <c r="R79" s="32"/>
      <c r="S79" s="32"/>
      <c r="T79" s="31">
        <f>10000</f>
        <v>10000</v>
      </c>
      <c r="U79" s="31"/>
    </row>
    <row r="80" spans="1:21" s="1" customFormat="1" ht="13.5" customHeight="1">
      <c r="A80" s="28" t="s">
        <v>95</v>
      </c>
      <c r="B80" s="28"/>
      <c r="C80" s="28"/>
      <c r="D80" s="28"/>
      <c r="E80" s="28"/>
      <c r="F80" s="28"/>
      <c r="G80" s="28"/>
      <c r="H80" s="28"/>
      <c r="I80" s="29" t="s">
        <v>80</v>
      </c>
      <c r="J80" s="29"/>
      <c r="K80" s="29" t="s">
        <v>135</v>
      </c>
      <c r="L80" s="29"/>
      <c r="M80" s="30">
        <f>22000</f>
        <v>22000</v>
      </c>
      <c r="N80" s="30"/>
      <c r="O80" s="30"/>
      <c r="P80" s="32" t="s">
        <v>50</v>
      </c>
      <c r="Q80" s="32"/>
      <c r="R80" s="32"/>
      <c r="S80" s="32"/>
      <c r="T80" s="31">
        <f>22000</f>
        <v>22000</v>
      </c>
      <c r="U80" s="31"/>
    </row>
    <row r="81" spans="1:21" s="1" customFormat="1" ht="13.5" customHeight="1">
      <c r="A81" s="28" t="s">
        <v>95</v>
      </c>
      <c r="B81" s="28"/>
      <c r="C81" s="28"/>
      <c r="D81" s="28"/>
      <c r="E81" s="28"/>
      <c r="F81" s="28"/>
      <c r="G81" s="28"/>
      <c r="H81" s="28"/>
      <c r="I81" s="29" t="s">
        <v>80</v>
      </c>
      <c r="J81" s="29"/>
      <c r="K81" s="29" t="s">
        <v>136</v>
      </c>
      <c r="L81" s="29"/>
      <c r="M81" s="30">
        <f>416963</f>
        <v>416963</v>
      </c>
      <c r="N81" s="30"/>
      <c r="O81" s="30"/>
      <c r="P81" s="30">
        <f>117225.33</f>
        <v>117225.33</v>
      </c>
      <c r="Q81" s="30"/>
      <c r="R81" s="30"/>
      <c r="S81" s="30"/>
      <c r="T81" s="31">
        <f>299737.67</f>
        <v>299737.67</v>
      </c>
      <c r="U81" s="31"/>
    </row>
    <row r="82" spans="1:21" s="1" customFormat="1" ht="13.5" customHeight="1">
      <c r="A82" s="28" t="s">
        <v>99</v>
      </c>
      <c r="B82" s="28"/>
      <c r="C82" s="28"/>
      <c r="D82" s="28"/>
      <c r="E82" s="28"/>
      <c r="F82" s="28"/>
      <c r="G82" s="28"/>
      <c r="H82" s="28"/>
      <c r="I82" s="29" t="s">
        <v>80</v>
      </c>
      <c r="J82" s="29"/>
      <c r="K82" s="29" t="s">
        <v>137</v>
      </c>
      <c r="L82" s="29"/>
      <c r="M82" s="30">
        <f>54737</f>
        <v>54737</v>
      </c>
      <c r="N82" s="30"/>
      <c r="O82" s="30"/>
      <c r="P82" s="30">
        <f>16421.1</f>
        <v>16421.1</v>
      </c>
      <c r="Q82" s="30"/>
      <c r="R82" s="30"/>
      <c r="S82" s="30"/>
      <c r="T82" s="31">
        <f>38315.9</f>
        <v>38315.9</v>
      </c>
      <c r="U82" s="31"/>
    </row>
    <row r="83" spans="1:21" s="1" customFormat="1" ht="13.5" customHeight="1">
      <c r="A83" s="28" t="s">
        <v>99</v>
      </c>
      <c r="B83" s="28"/>
      <c r="C83" s="28"/>
      <c r="D83" s="28"/>
      <c r="E83" s="28"/>
      <c r="F83" s="28"/>
      <c r="G83" s="28"/>
      <c r="H83" s="28"/>
      <c r="I83" s="29" t="s">
        <v>80</v>
      </c>
      <c r="J83" s="29"/>
      <c r="K83" s="29" t="s">
        <v>138</v>
      </c>
      <c r="L83" s="29"/>
      <c r="M83" s="30">
        <f>420000</f>
        <v>420000</v>
      </c>
      <c r="N83" s="30"/>
      <c r="O83" s="30"/>
      <c r="P83" s="32" t="s">
        <v>50</v>
      </c>
      <c r="Q83" s="32"/>
      <c r="R83" s="32"/>
      <c r="S83" s="32"/>
      <c r="T83" s="31">
        <f>420000</f>
        <v>420000</v>
      </c>
      <c r="U83" s="31"/>
    </row>
    <row r="84" spans="1:21" s="1" customFormat="1" ht="13.5" customHeight="1">
      <c r="A84" s="28" t="s">
        <v>93</v>
      </c>
      <c r="B84" s="28"/>
      <c r="C84" s="28"/>
      <c r="D84" s="28"/>
      <c r="E84" s="28"/>
      <c r="F84" s="28"/>
      <c r="G84" s="28"/>
      <c r="H84" s="28"/>
      <c r="I84" s="29" t="s">
        <v>80</v>
      </c>
      <c r="J84" s="29"/>
      <c r="K84" s="29" t="s">
        <v>139</v>
      </c>
      <c r="L84" s="29"/>
      <c r="M84" s="30">
        <f>1000000</f>
        <v>1000000</v>
      </c>
      <c r="N84" s="30"/>
      <c r="O84" s="30"/>
      <c r="P84" s="32" t="s">
        <v>50</v>
      </c>
      <c r="Q84" s="32"/>
      <c r="R84" s="32"/>
      <c r="S84" s="32"/>
      <c r="T84" s="31">
        <f>1000000</f>
        <v>1000000</v>
      </c>
      <c r="U84" s="31"/>
    </row>
    <row r="85" spans="1:21" s="1" customFormat="1" ht="13.5" customHeight="1">
      <c r="A85" s="28" t="s">
        <v>91</v>
      </c>
      <c r="B85" s="28"/>
      <c r="C85" s="28"/>
      <c r="D85" s="28"/>
      <c r="E85" s="28"/>
      <c r="F85" s="28"/>
      <c r="G85" s="28"/>
      <c r="H85" s="28"/>
      <c r="I85" s="29" t="s">
        <v>80</v>
      </c>
      <c r="J85" s="29"/>
      <c r="K85" s="29" t="s">
        <v>140</v>
      </c>
      <c r="L85" s="29"/>
      <c r="M85" s="30">
        <f>64700</f>
        <v>64700</v>
      </c>
      <c r="N85" s="30"/>
      <c r="O85" s="30"/>
      <c r="P85" s="30">
        <f>22775.19</f>
        <v>22775.19</v>
      </c>
      <c r="Q85" s="30"/>
      <c r="R85" s="30"/>
      <c r="S85" s="30"/>
      <c r="T85" s="31">
        <f>41924.81</f>
        <v>41924.81</v>
      </c>
      <c r="U85" s="31"/>
    </row>
    <row r="86" spans="1:21" s="1" customFormat="1" ht="13.5" customHeight="1">
      <c r="A86" s="28" t="s">
        <v>93</v>
      </c>
      <c r="B86" s="28"/>
      <c r="C86" s="28"/>
      <c r="D86" s="28"/>
      <c r="E86" s="28"/>
      <c r="F86" s="28"/>
      <c r="G86" s="28"/>
      <c r="H86" s="28"/>
      <c r="I86" s="29" t="s">
        <v>80</v>
      </c>
      <c r="J86" s="29"/>
      <c r="K86" s="29" t="s">
        <v>141</v>
      </c>
      <c r="L86" s="29"/>
      <c r="M86" s="30">
        <f>36000</f>
        <v>36000</v>
      </c>
      <c r="N86" s="30"/>
      <c r="O86" s="30"/>
      <c r="P86" s="32" t="s">
        <v>50</v>
      </c>
      <c r="Q86" s="32"/>
      <c r="R86" s="32"/>
      <c r="S86" s="32"/>
      <c r="T86" s="31">
        <f>36000</f>
        <v>36000</v>
      </c>
      <c r="U86" s="31"/>
    </row>
    <row r="87" spans="1:21" s="1" customFormat="1" ht="13.5" customHeight="1">
      <c r="A87" s="28" t="s">
        <v>95</v>
      </c>
      <c r="B87" s="28"/>
      <c r="C87" s="28"/>
      <c r="D87" s="28"/>
      <c r="E87" s="28"/>
      <c r="F87" s="28"/>
      <c r="G87" s="28"/>
      <c r="H87" s="28"/>
      <c r="I87" s="29" t="s">
        <v>80</v>
      </c>
      <c r="J87" s="29"/>
      <c r="K87" s="29" t="s">
        <v>142</v>
      </c>
      <c r="L87" s="29"/>
      <c r="M87" s="30">
        <f>55000</f>
        <v>55000</v>
      </c>
      <c r="N87" s="30"/>
      <c r="O87" s="30"/>
      <c r="P87" s="30">
        <f>14487.74</f>
        <v>14487.74</v>
      </c>
      <c r="Q87" s="30"/>
      <c r="R87" s="30"/>
      <c r="S87" s="30"/>
      <c r="T87" s="31">
        <f>40512.26</f>
        <v>40512.26</v>
      </c>
      <c r="U87" s="31"/>
    </row>
    <row r="88" spans="1:21" s="1" customFormat="1" ht="13.5" customHeight="1">
      <c r="A88" s="28" t="s">
        <v>93</v>
      </c>
      <c r="B88" s="28"/>
      <c r="C88" s="28"/>
      <c r="D88" s="28"/>
      <c r="E88" s="28"/>
      <c r="F88" s="28"/>
      <c r="G88" s="28"/>
      <c r="H88" s="28"/>
      <c r="I88" s="29" t="s">
        <v>80</v>
      </c>
      <c r="J88" s="29"/>
      <c r="K88" s="29" t="s">
        <v>143</v>
      </c>
      <c r="L88" s="29"/>
      <c r="M88" s="30">
        <f>400000</f>
        <v>400000</v>
      </c>
      <c r="N88" s="30"/>
      <c r="O88" s="30"/>
      <c r="P88" s="32" t="s">
        <v>50</v>
      </c>
      <c r="Q88" s="32"/>
      <c r="R88" s="32"/>
      <c r="S88" s="32"/>
      <c r="T88" s="31">
        <f>400000</f>
        <v>400000</v>
      </c>
      <c r="U88" s="31"/>
    </row>
    <row r="89" spans="1:21" s="1" customFormat="1" ht="13.5" customHeight="1">
      <c r="A89" s="28" t="s">
        <v>91</v>
      </c>
      <c r="B89" s="28"/>
      <c r="C89" s="28"/>
      <c r="D89" s="28"/>
      <c r="E89" s="28"/>
      <c r="F89" s="28"/>
      <c r="G89" s="28"/>
      <c r="H89" s="28"/>
      <c r="I89" s="29" t="s">
        <v>80</v>
      </c>
      <c r="J89" s="29"/>
      <c r="K89" s="29" t="s">
        <v>144</v>
      </c>
      <c r="L89" s="29"/>
      <c r="M89" s="30">
        <f>655300</f>
        <v>655300</v>
      </c>
      <c r="N89" s="30"/>
      <c r="O89" s="30"/>
      <c r="P89" s="30">
        <f>395799.17</f>
        <v>395799.17</v>
      </c>
      <c r="Q89" s="30"/>
      <c r="R89" s="30"/>
      <c r="S89" s="30"/>
      <c r="T89" s="31">
        <f>259500.83</f>
        <v>259500.83</v>
      </c>
      <c r="U89" s="31"/>
    </row>
    <row r="90" spans="1:21" s="1" customFormat="1" ht="13.5" customHeight="1">
      <c r="A90" s="28" t="s">
        <v>99</v>
      </c>
      <c r="B90" s="28"/>
      <c r="C90" s="28"/>
      <c r="D90" s="28"/>
      <c r="E90" s="28"/>
      <c r="F90" s="28"/>
      <c r="G90" s="28"/>
      <c r="H90" s="28"/>
      <c r="I90" s="29" t="s">
        <v>80</v>
      </c>
      <c r="J90" s="29"/>
      <c r="K90" s="29" t="s">
        <v>145</v>
      </c>
      <c r="L90" s="29"/>
      <c r="M90" s="30">
        <f>0</f>
        <v>0</v>
      </c>
      <c r="N90" s="30"/>
      <c r="O90" s="30"/>
      <c r="P90" s="32" t="s">
        <v>50</v>
      </c>
      <c r="Q90" s="32"/>
      <c r="R90" s="32"/>
      <c r="S90" s="32"/>
      <c r="T90" s="31">
        <f>0</f>
        <v>0</v>
      </c>
      <c r="U90" s="31"/>
    </row>
    <row r="91" spans="1:21" s="1" customFormat="1" ht="13.5" customHeight="1">
      <c r="A91" s="28" t="s">
        <v>101</v>
      </c>
      <c r="B91" s="28"/>
      <c r="C91" s="28"/>
      <c r="D91" s="28"/>
      <c r="E91" s="28"/>
      <c r="F91" s="28"/>
      <c r="G91" s="28"/>
      <c r="H91" s="28"/>
      <c r="I91" s="29" t="s">
        <v>80</v>
      </c>
      <c r="J91" s="29"/>
      <c r="K91" s="29" t="s">
        <v>146</v>
      </c>
      <c r="L91" s="29"/>
      <c r="M91" s="30">
        <f>87000</f>
        <v>87000</v>
      </c>
      <c r="N91" s="30"/>
      <c r="O91" s="30"/>
      <c r="P91" s="30">
        <f>4573.9</f>
        <v>4573.9</v>
      </c>
      <c r="Q91" s="30"/>
      <c r="R91" s="30"/>
      <c r="S91" s="30"/>
      <c r="T91" s="31">
        <f>82426.1</f>
        <v>82426.1</v>
      </c>
      <c r="U91" s="31"/>
    </row>
    <row r="92" spans="1:21" s="1" customFormat="1" ht="13.5" customHeight="1">
      <c r="A92" s="28" t="s">
        <v>93</v>
      </c>
      <c r="B92" s="28"/>
      <c r="C92" s="28"/>
      <c r="D92" s="28"/>
      <c r="E92" s="28"/>
      <c r="F92" s="28"/>
      <c r="G92" s="28"/>
      <c r="H92" s="28"/>
      <c r="I92" s="29" t="s">
        <v>80</v>
      </c>
      <c r="J92" s="29"/>
      <c r="K92" s="29" t="s">
        <v>147</v>
      </c>
      <c r="L92" s="29"/>
      <c r="M92" s="30">
        <f>231751</f>
        <v>231751</v>
      </c>
      <c r="N92" s="30"/>
      <c r="O92" s="30"/>
      <c r="P92" s="30">
        <f>57395.72</f>
        <v>57395.72</v>
      </c>
      <c r="Q92" s="30"/>
      <c r="R92" s="30"/>
      <c r="S92" s="30"/>
      <c r="T92" s="31">
        <f>174355.28</f>
        <v>174355.28</v>
      </c>
      <c r="U92" s="31"/>
    </row>
    <row r="93" spans="1:21" s="1" customFormat="1" ht="13.5" customHeight="1">
      <c r="A93" s="28" t="s">
        <v>93</v>
      </c>
      <c r="B93" s="28"/>
      <c r="C93" s="28"/>
      <c r="D93" s="28"/>
      <c r="E93" s="28"/>
      <c r="F93" s="28"/>
      <c r="G93" s="28"/>
      <c r="H93" s="28"/>
      <c r="I93" s="29" t="s">
        <v>80</v>
      </c>
      <c r="J93" s="29"/>
      <c r="K93" s="29" t="s">
        <v>148</v>
      </c>
      <c r="L93" s="29"/>
      <c r="M93" s="30">
        <f>622284.47</f>
        <v>622284.47</v>
      </c>
      <c r="N93" s="30"/>
      <c r="O93" s="30"/>
      <c r="P93" s="30">
        <f>177356.65</f>
        <v>177356.65</v>
      </c>
      <c r="Q93" s="30"/>
      <c r="R93" s="30"/>
      <c r="S93" s="30"/>
      <c r="T93" s="31">
        <f>444927.82</f>
        <v>444927.82</v>
      </c>
      <c r="U93" s="31"/>
    </row>
    <row r="94" spans="1:21" s="1" customFormat="1" ht="13.5" customHeight="1">
      <c r="A94" s="28" t="s">
        <v>93</v>
      </c>
      <c r="B94" s="28"/>
      <c r="C94" s="28"/>
      <c r="D94" s="28"/>
      <c r="E94" s="28"/>
      <c r="F94" s="28"/>
      <c r="G94" s="28"/>
      <c r="H94" s="28"/>
      <c r="I94" s="29" t="s">
        <v>80</v>
      </c>
      <c r="J94" s="29"/>
      <c r="K94" s="29" t="s">
        <v>149</v>
      </c>
      <c r="L94" s="29"/>
      <c r="M94" s="30">
        <f>1014400</f>
        <v>1014400</v>
      </c>
      <c r="N94" s="30"/>
      <c r="O94" s="30"/>
      <c r="P94" s="30">
        <f>346894.8</f>
        <v>346894.8</v>
      </c>
      <c r="Q94" s="30"/>
      <c r="R94" s="30"/>
      <c r="S94" s="30"/>
      <c r="T94" s="31">
        <f>667505.2</f>
        <v>667505.2</v>
      </c>
      <c r="U94" s="31"/>
    </row>
    <row r="95" spans="1:21" s="1" customFormat="1" ht="13.5" customHeight="1">
      <c r="A95" s="28" t="s">
        <v>101</v>
      </c>
      <c r="B95" s="28"/>
      <c r="C95" s="28"/>
      <c r="D95" s="28"/>
      <c r="E95" s="28"/>
      <c r="F95" s="28"/>
      <c r="G95" s="28"/>
      <c r="H95" s="28"/>
      <c r="I95" s="29" t="s">
        <v>80</v>
      </c>
      <c r="J95" s="29"/>
      <c r="K95" s="29" t="s">
        <v>150</v>
      </c>
      <c r="L95" s="29"/>
      <c r="M95" s="30">
        <f>28000</f>
        <v>28000</v>
      </c>
      <c r="N95" s="30"/>
      <c r="O95" s="30"/>
      <c r="P95" s="32" t="s">
        <v>50</v>
      </c>
      <c r="Q95" s="32"/>
      <c r="R95" s="32"/>
      <c r="S95" s="32"/>
      <c r="T95" s="31">
        <f>28000</f>
        <v>28000</v>
      </c>
      <c r="U95" s="31"/>
    </row>
    <row r="96" spans="1:21" s="1" customFormat="1" ht="13.5" customHeight="1">
      <c r="A96" s="28" t="s">
        <v>93</v>
      </c>
      <c r="B96" s="28"/>
      <c r="C96" s="28"/>
      <c r="D96" s="28"/>
      <c r="E96" s="28"/>
      <c r="F96" s="28"/>
      <c r="G96" s="28"/>
      <c r="H96" s="28"/>
      <c r="I96" s="29" t="s">
        <v>80</v>
      </c>
      <c r="J96" s="29"/>
      <c r="K96" s="29" t="s">
        <v>151</v>
      </c>
      <c r="L96" s="29"/>
      <c r="M96" s="30">
        <f>233000</f>
        <v>233000</v>
      </c>
      <c r="N96" s="30"/>
      <c r="O96" s="30"/>
      <c r="P96" s="32" t="s">
        <v>50</v>
      </c>
      <c r="Q96" s="32"/>
      <c r="R96" s="32"/>
      <c r="S96" s="32"/>
      <c r="T96" s="31">
        <f>233000</f>
        <v>233000</v>
      </c>
      <c r="U96" s="31"/>
    </row>
    <row r="97" spans="1:21" s="1" customFormat="1" ht="13.5" customHeight="1">
      <c r="A97" s="28" t="s">
        <v>152</v>
      </c>
      <c r="B97" s="28"/>
      <c r="C97" s="28"/>
      <c r="D97" s="28"/>
      <c r="E97" s="28"/>
      <c r="F97" s="28"/>
      <c r="G97" s="28"/>
      <c r="H97" s="28"/>
      <c r="I97" s="29" t="s">
        <v>80</v>
      </c>
      <c r="J97" s="29"/>
      <c r="K97" s="29" t="s">
        <v>153</v>
      </c>
      <c r="L97" s="29"/>
      <c r="M97" s="30">
        <f>254500</f>
        <v>254500</v>
      </c>
      <c r="N97" s="30"/>
      <c r="O97" s="30"/>
      <c r="P97" s="30">
        <f>162491.33</f>
        <v>162491.33</v>
      </c>
      <c r="Q97" s="30"/>
      <c r="R97" s="30"/>
      <c r="S97" s="30"/>
      <c r="T97" s="31">
        <f>92008.67</f>
        <v>92008.67</v>
      </c>
      <c r="U97" s="31"/>
    </row>
    <row r="98" spans="1:21" s="1" customFormat="1" ht="13.5" customHeight="1">
      <c r="A98" s="28" t="s">
        <v>99</v>
      </c>
      <c r="B98" s="28"/>
      <c r="C98" s="28"/>
      <c r="D98" s="28"/>
      <c r="E98" s="28"/>
      <c r="F98" s="28"/>
      <c r="G98" s="28"/>
      <c r="H98" s="28"/>
      <c r="I98" s="29" t="s">
        <v>80</v>
      </c>
      <c r="J98" s="29"/>
      <c r="K98" s="29" t="s">
        <v>154</v>
      </c>
      <c r="L98" s="29"/>
      <c r="M98" s="30">
        <f>0</f>
        <v>0</v>
      </c>
      <c r="N98" s="30"/>
      <c r="O98" s="30"/>
      <c r="P98" s="32" t="s">
        <v>50</v>
      </c>
      <c r="Q98" s="32"/>
      <c r="R98" s="32"/>
      <c r="S98" s="32"/>
      <c r="T98" s="31">
        <f>0</f>
        <v>0</v>
      </c>
      <c r="U98" s="31"/>
    </row>
    <row r="99" spans="1:21" s="1" customFormat="1" ht="13.5" customHeight="1">
      <c r="A99" s="28" t="s">
        <v>103</v>
      </c>
      <c r="B99" s="28"/>
      <c r="C99" s="28"/>
      <c r="D99" s="28"/>
      <c r="E99" s="28"/>
      <c r="F99" s="28"/>
      <c r="G99" s="28"/>
      <c r="H99" s="28"/>
      <c r="I99" s="29" t="s">
        <v>80</v>
      </c>
      <c r="J99" s="29"/>
      <c r="K99" s="29" t="s">
        <v>155</v>
      </c>
      <c r="L99" s="29"/>
      <c r="M99" s="30">
        <f>75000</f>
        <v>75000</v>
      </c>
      <c r="N99" s="30"/>
      <c r="O99" s="30"/>
      <c r="P99" s="32" t="s">
        <v>50</v>
      </c>
      <c r="Q99" s="32"/>
      <c r="R99" s="32"/>
      <c r="S99" s="32"/>
      <c r="T99" s="31">
        <f>75000</f>
        <v>75000</v>
      </c>
      <c r="U99" s="31"/>
    </row>
    <row r="100" spans="1:21" s="1" customFormat="1" ht="13.5" customHeight="1">
      <c r="A100" s="28" t="s">
        <v>152</v>
      </c>
      <c r="B100" s="28"/>
      <c r="C100" s="28"/>
      <c r="D100" s="28"/>
      <c r="E100" s="28"/>
      <c r="F100" s="28"/>
      <c r="G100" s="28"/>
      <c r="H100" s="28"/>
      <c r="I100" s="29" t="s">
        <v>80</v>
      </c>
      <c r="J100" s="29"/>
      <c r="K100" s="29" t="s">
        <v>156</v>
      </c>
      <c r="L100" s="29"/>
      <c r="M100" s="30">
        <f>4310900</f>
        <v>4310900</v>
      </c>
      <c r="N100" s="30"/>
      <c r="O100" s="30"/>
      <c r="P100" s="30">
        <f>2505709.4</f>
        <v>2505709.4</v>
      </c>
      <c r="Q100" s="30"/>
      <c r="R100" s="30"/>
      <c r="S100" s="30"/>
      <c r="T100" s="31">
        <f>1805190.6</f>
        <v>1805190.6</v>
      </c>
      <c r="U100" s="31"/>
    </row>
    <row r="101" spans="1:21" s="1" customFormat="1" ht="13.5" customHeight="1">
      <c r="A101" s="28" t="s">
        <v>152</v>
      </c>
      <c r="B101" s="28"/>
      <c r="C101" s="28"/>
      <c r="D101" s="28"/>
      <c r="E101" s="28"/>
      <c r="F101" s="28"/>
      <c r="G101" s="28"/>
      <c r="H101" s="28"/>
      <c r="I101" s="29" t="s">
        <v>80</v>
      </c>
      <c r="J101" s="29"/>
      <c r="K101" s="29" t="s">
        <v>157</v>
      </c>
      <c r="L101" s="29"/>
      <c r="M101" s="30">
        <f>38700</f>
        <v>38700</v>
      </c>
      <c r="N101" s="30"/>
      <c r="O101" s="30"/>
      <c r="P101" s="32" t="s">
        <v>50</v>
      </c>
      <c r="Q101" s="32"/>
      <c r="R101" s="32"/>
      <c r="S101" s="32"/>
      <c r="T101" s="31">
        <f>38700</f>
        <v>38700</v>
      </c>
      <c r="U101" s="31"/>
    </row>
    <row r="102" spans="1:21" s="1" customFormat="1" ht="13.5" customHeight="1">
      <c r="A102" s="28" t="s">
        <v>93</v>
      </c>
      <c r="B102" s="28"/>
      <c r="C102" s="28"/>
      <c r="D102" s="28"/>
      <c r="E102" s="28"/>
      <c r="F102" s="28"/>
      <c r="G102" s="28"/>
      <c r="H102" s="28"/>
      <c r="I102" s="29" t="s">
        <v>80</v>
      </c>
      <c r="J102" s="29"/>
      <c r="K102" s="29" t="s">
        <v>158</v>
      </c>
      <c r="L102" s="29"/>
      <c r="M102" s="30">
        <f>67600</f>
        <v>67600</v>
      </c>
      <c r="N102" s="30"/>
      <c r="O102" s="30"/>
      <c r="P102" s="32" t="s">
        <v>50</v>
      </c>
      <c r="Q102" s="32"/>
      <c r="R102" s="32"/>
      <c r="S102" s="32"/>
      <c r="T102" s="31">
        <f>67600</f>
        <v>67600</v>
      </c>
      <c r="U102" s="31"/>
    </row>
    <row r="103" spans="1:21" s="1" customFormat="1" ht="13.5" customHeight="1">
      <c r="A103" s="28" t="s">
        <v>152</v>
      </c>
      <c r="B103" s="28"/>
      <c r="C103" s="28"/>
      <c r="D103" s="28"/>
      <c r="E103" s="28"/>
      <c r="F103" s="28"/>
      <c r="G103" s="28"/>
      <c r="H103" s="28"/>
      <c r="I103" s="29" t="s">
        <v>80</v>
      </c>
      <c r="J103" s="29"/>
      <c r="K103" s="29" t="s">
        <v>159</v>
      </c>
      <c r="L103" s="29"/>
      <c r="M103" s="30">
        <f>142900</f>
        <v>142900</v>
      </c>
      <c r="N103" s="30"/>
      <c r="O103" s="30"/>
      <c r="P103" s="32" t="s">
        <v>50</v>
      </c>
      <c r="Q103" s="32"/>
      <c r="R103" s="32"/>
      <c r="S103" s="32"/>
      <c r="T103" s="31">
        <f>142900</f>
        <v>142900</v>
      </c>
      <c r="U103" s="31"/>
    </row>
    <row r="104" spans="1:21" s="1" customFormat="1" ht="13.5" customHeight="1">
      <c r="A104" s="28" t="s">
        <v>152</v>
      </c>
      <c r="B104" s="28"/>
      <c r="C104" s="28"/>
      <c r="D104" s="28"/>
      <c r="E104" s="28"/>
      <c r="F104" s="28"/>
      <c r="G104" s="28"/>
      <c r="H104" s="28"/>
      <c r="I104" s="29" t="s">
        <v>80</v>
      </c>
      <c r="J104" s="29"/>
      <c r="K104" s="29" t="s">
        <v>160</v>
      </c>
      <c r="L104" s="29"/>
      <c r="M104" s="30">
        <f>663500</f>
        <v>663500</v>
      </c>
      <c r="N104" s="30"/>
      <c r="O104" s="30"/>
      <c r="P104" s="30">
        <f>663408.7</f>
        <v>663408.7</v>
      </c>
      <c r="Q104" s="30"/>
      <c r="R104" s="30"/>
      <c r="S104" s="30"/>
      <c r="T104" s="31">
        <f>91.3</f>
        <v>91.3</v>
      </c>
      <c r="U104" s="31"/>
    </row>
    <row r="105" spans="1:21" s="1" customFormat="1" ht="13.5" customHeight="1">
      <c r="A105" s="28" t="s">
        <v>152</v>
      </c>
      <c r="B105" s="28"/>
      <c r="C105" s="28"/>
      <c r="D105" s="28"/>
      <c r="E105" s="28"/>
      <c r="F105" s="28"/>
      <c r="G105" s="28"/>
      <c r="H105" s="28"/>
      <c r="I105" s="29" t="s">
        <v>80</v>
      </c>
      <c r="J105" s="29"/>
      <c r="K105" s="29" t="s">
        <v>161</v>
      </c>
      <c r="L105" s="29"/>
      <c r="M105" s="30">
        <f>195200</f>
        <v>195200</v>
      </c>
      <c r="N105" s="30"/>
      <c r="O105" s="30"/>
      <c r="P105" s="30">
        <f>69665.4</f>
        <v>69665.4</v>
      </c>
      <c r="Q105" s="30"/>
      <c r="R105" s="30"/>
      <c r="S105" s="30"/>
      <c r="T105" s="31">
        <f>125534.6</f>
        <v>125534.6</v>
      </c>
      <c r="U105" s="31"/>
    </row>
    <row r="106" spans="1:21" s="1" customFormat="1" ht="13.5" customHeight="1">
      <c r="A106" s="28" t="s">
        <v>152</v>
      </c>
      <c r="B106" s="28"/>
      <c r="C106" s="28"/>
      <c r="D106" s="28"/>
      <c r="E106" s="28"/>
      <c r="F106" s="28"/>
      <c r="G106" s="28"/>
      <c r="H106" s="28"/>
      <c r="I106" s="29" t="s">
        <v>80</v>
      </c>
      <c r="J106" s="29"/>
      <c r="K106" s="29" t="s">
        <v>162</v>
      </c>
      <c r="L106" s="29"/>
      <c r="M106" s="30">
        <f>200000</f>
        <v>200000</v>
      </c>
      <c r="N106" s="30"/>
      <c r="O106" s="30"/>
      <c r="P106" s="32" t="s">
        <v>50</v>
      </c>
      <c r="Q106" s="32"/>
      <c r="R106" s="32"/>
      <c r="S106" s="32"/>
      <c r="T106" s="31">
        <f>200000</f>
        <v>200000</v>
      </c>
      <c r="U106" s="31"/>
    </row>
    <row r="107" spans="1:21" s="1" customFormat="1" ht="24" customHeight="1">
      <c r="A107" s="28" t="s">
        <v>163</v>
      </c>
      <c r="B107" s="28"/>
      <c r="C107" s="28"/>
      <c r="D107" s="28"/>
      <c r="E107" s="28"/>
      <c r="F107" s="28"/>
      <c r="G107" s="28"/>
      <c r="H107" s="28"/>
      <c r="I107" s="29" t="s">
        <v>80</v>
      </c>
      <c r="J107" s="29"/>
      <c r="K107" s="29" t="s">
        <v>164</v>
      </c>
      <c r="L107" s="29"/>
      <c r="M107" s="30">
        <f>60000</f>
        <v>60000</v>
      </c>
      <c r="N107" s="30"/>
      <c r="O107" s="30"/>
      <c r="P107" s="30">
        <f>30000</f>
        <v>30000</v>
      </c>
      <c r="Q107" s="30"/>
      <c r="R107" s="30"/>
      <c r="S107" s="30"/>
      <c r="T107" s="31">
        <f>30000</f>
        <v>30000</v>
      </c>
      <c r="U107" s="31"/>
    </row>
    <row r="108" spans="1:21" s="1" customFormat="1" ht="13.5" customHeight="1">
      <c r="A108" s="28" t="s">
        <v>165</v>
      </c>
      <c r="B108" s="28"/>
      <c r="C108" s="28"/>
      <c r="D108" s="28"/>
      <c r="E108" s="28"/>
      <c r="F108" s="28"/>
      <c r="G108" s="28"/>
      <c r="H108" s="28"/>
      <c r="I108" s="29" t="s">
        <v>80</v>
      </c>
      <c r="J108" s="29"/>
      <c r="K108" s="29" t="s">
        <v>166</v>
      </c>
      <c r="L108" s="29"/>
      <c r="M108" s="30">
        <f>132000</f>
        <v>132000</v>
      </c>
      <c r="N108" s="30"/>
      <c r="O108" s="30"/>
      <c r="P108" s="32" t="s">
        <v>50</v>
      </c>
      <c r="Q108" s="32"/>
      <c r="R108" s="32"/>
      <c r="S108" s="32"/>
      <c r="T108" s="31">
        <f>132000</f>
        <v>132000</v>
      </c>
      <c r="U108" s="31"/>
    </row>
    <row r="109" spans="1:21" s="1" customFormat="1" ht="13.5" customHeight="1">
      <c r="A109" s="28" t="s">
        <v>152</v>
      </c>
      <c r="B109" s="28"/>
      <c r="C109" s="28"/>
      <c r="D109" s="28"/>
      <c r="E109" s="28"/>
      <c r="F109" s="28"/>
      <c r="G109" s="28"/>
      <c r="H109" s="28"/>
      <c r="I109" s="29" t="s">
        <v>80</v>
      </c>
      <c r="J109" s="29"/>
      <c r="K109" s="29" t="s">
        <v>167</v>
      </c>
      <c r="L109" s="29"/>
      <c r="M109" s="30">
        <f>164000</f>
        <v>164000</v>
      </c>
      <c r="N109" s="30"/>
      <c r="O109" s="30"/>
      <c r="P109" s="30">
        <f>92960.23</f>
        <v>92960.23</v>
      </c>
      <c r="Q109" s="30"/>
      <c r="R109" s="30"/>
      <c r="S109" s="30"/>
      <c r="T109" s="31">
        <f>71039.77</f>
        <v>71039.77</v>
      </c>
      <c r="U109" s="31"/>
    </row>
    <row r="110" spans="1:21" s="1" customFormat="1" ht="13.5" customHeight="1">
      <c r="A110" s="28" t="s">
        <v>152</v>
      </c>
      <c r="B110" s="28"/>
      <c r="C110" s="28"/>
      <c r="D110" s="28"/>
      <c r="E110" s="28"/>
      <c r="F110" s="28"/>
      <c r="G110" s="28"/>
      <c r="H110" s="28"/>
      <c r="I110" s="29" t="s">
        <v>80</v>
      </c>
      <c r="J110" s="29"/>
      <c r="K110" s="29" t="s">
        <v>168</v>
      </c>
      <c r="L110" s="29"/>
      <c r="M110" s="30">
        <f>1561900</f>
        <v>1561900</v>
      </c>
      <c r="N110" s="30"/>
      <c r="O110" s="30"/>
      <c r="P110" s="30">
        <f>827782.27</f>
        <v>827782.27</v>
      </c>
      <c r="Q110" s="30"/>
      <c r="R110" s="30"/>
      <c r="S110" s="30"/>
      <c r="T110" s="31">
        <f>734117.73</f>
        <v>734117.73</v>
      </c>
      <c r="U110" s="31"/>
    </row>
    <row r="111" spans="1:21" s="1" customFormat="1" ht="13.5" customHeight="1">
      <c r="A111" s="28" t="s">
        <v>152</v>
      </c>
      <c r="B111" s="28"/>
      <c r="C111" s="28"/>
      <c r="D111" s="28"/>
      <c r="E111" s="28"/>
      <c r="F111" s="28"/>
      <c r="G111" s="28"/>
      <c r="H111" s="28"/>
      <c r="I111" s="29" t="s">
        <v>80</v>
      </c>
      <c r="J111" s="29"/>
      <c r="K111" s="29" t="s">
        <v>169</v>
      </c>
      <c r="L111" s="29"/>
      <c r="M111" s="30">
        <f>77700</f>
        <v>77700</v>
      </c>
      <c r="N111" s="30"/>
      <c r="O111" s="30"/>
      <c r="P111" s="30">
        <f>42847.42</f>
        <v>42847.42</v>
      </c>
      <c r="Q111" s="30"/>
      <c r="R111" s="30"/>
      <c r="S111" s="30"/>
      <c r="T111" s="31">
        <f>34852.58</f>
        <v>34852.58</v>
      </c>
      <c r="U111" s="31"/>
    </row>
    <row r="112" spans="1:21" s="1" customFormat="1" ht="13.5" customHeight="1">
      <c r="A112" s="28" t="s">
        <v>152</v>
      </c>
      <c r="B112" s="28"/>
      <c r="C112" s="28"/>
      <c r="D112" s="28"/>
      <c r="E112" s="28"/>
      <c r="F112" s="28"/>
      <c r="G112" s="28"/>
      <c r="H112" s="28"/>
      <c r="I112" s="29" t="s">
        <v>80</v>
      </c>
      <c r="J112" s="29"/>
      <c r="K112" s="29" t="s">
        <v>170</v>
      </c>
      <c r="L112" s="29"/>
      <c r="M112" s="30">
        <f>0</f>
        <v>0</v>
      </c>
      <c r="N112" s="30"/>
      <c r="O112" s="30"/>
      <c r="P112" s="32" t="s">
        <v>50</v>
      </c>
      <c r="Q112" s="32"/>
      <c r="R112" s="32"/>
      <c r="S112" s="32"/>
      <c r="T112" s="31">
        <f>0</f>
        <v>0</v>
      </c>
      <c r="U112" s="31"/>
    </row>
    <row r="113" spans="1:21" s="1" customFormat="1" ht="13.5" customHeight="1">
      <c r="A113" s="28" t="s">
        <v>152</v>
      </c>
      <c r="B113" s="28"/>
      <c r="C113" s="28"/>
      <c r="D113" s="28"/>
      <c r="E113" s="28"/>
      <c r="F113" s="28"/>
      <c r="G113" s="28"/>
      <c r="H113" s="28"/>
      <c r="I113" s="29" t="s">
        <v>80</v>
      </c>
      <c r="J113" s="29"/>
      <c r="K113" s="29" t="s">
        <v>171</v>
      </c>
      <c r="L113" s="29"/>
      <c r="M113" s="30">
        <f>122200</f>
        <v>122200</v>
      </c>
      <c r="N113" s="30"/>
      <c r="O113" s="30"/>
      <c r="P113" s="30">
        <f>56053.97</f>
        <v>56053.97</v>
      </c>
      <c r="Q113" s="30"/>
      <c r="R113" s="30"/>
      <c r="S113" s="30"/>
      <c r="T113" s="31">
        <f>66146.03</f>
        <v>66146.03</v>
      </c>
      <c r="U113" s="31"/>
    </row>
    <row r="114" spans="1:21" s="1" customFormat="1" ht="13.5" customHeight="1">
      <c r="A114" s="28" t="s">
        <v>172</v>
      </c>
      <c r="B114" s="28"/>
      <c r="C114" s="28"/>
      <c r="D114" s="28"/>
      <c r="E114" s="28"/>
      <c r="F114" s="28"/>
      <c r="G114" s="28"/>
      <c r="H114" s="28"/>
      <c r="I114" s="29" t="s">
        <v>80</v>
      </c>
      <c r="J114" s="29"/>
      <c r="K114" s="29" t="s">
        <v>173</v>
      </c>
      <c r="L114" s="29"/>
      <c r="M114" s="30">
        <f>130000</f>
        <v>130000</v>
      </c>
      <c r="N114" s="30"/>
      <c r="O114" s="30"/>
      <c r="P114" s="30">
        <f>36192.24</f>
        <v>36192.24</v>
      </c>
      <c r="Q114" s="30"/>
      <c r="R114" s="30"/>
      <c r="S114" s="30"/>
      <c r="T114" s="31">
        <f>93807.76</f>
        <v>93807.76</v>
      </c>
      <c r="U114" s="31"/>
    </row>
    <row r="115" spans="1:21" s="1" customFormat="1" ht="15" customHeight="1">
      <c r="A115" s="33" t="s">
        <v>174</v>
      </c>
      <c r="B115" s="33"/>
      <c r="C115" s="33"/>
      <c r="D115" s="33"/>
      <c r="E115" s="33"/>
      <c r="F115" s="33"/>
      <c r="G115" s="33"/>
      <c r="H115" s="33"/>
      <c r="I115" s="34" t="s">
        <v>175</v>
      </c>
      <c r="J115" s="34"/>
      <c r="K115" s="34" t="s">
        <v>37</v>
      </c>
      <c r="L115" s="34"/>
      <c r="M115" s="35">
        <f>-2417156.47</f>
        <v>-2417156.47</v>
      </c>
      <c r="N115" s="35"/>
      <c r="O115" s="35"/>
      <c r="P115" s="35">
        <f>1032555.11</f>
        <v>1032555.11</v>
      </c>
      <c r="Q115" s="35"/>
      <c r="R115" s="35"/>
      <c r="S115" s="35"/>
      <c r="T115" s="36" t="s">
        <v>37</v>
      </c>
      <c r="U115" s="36"/>
    </row>
    <row r="116" spans="1:21" s="1" customFormat="1" ht="13.5" customHeight="1">
      <c r="A116" s="7" t="s">
        <v>11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13.5" customHeight="1">
      <c r="A117" s="11" t="s">
        <v>176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s="1" customFormat="1" ht="45.75" customHeight="1">
      <c r="A118" s="12" t="s">
        <v>23</v>
      </c>
      <c r="B118" s="12"/>
      <c r="C118" s="12"/>
      <c r="D118" s="12"/>
      <c r="E118" s="12"/>
      <c r="F118" s="12"/>
      <c r="G118" s="12"/>
      <c r="H118" s="12"/>
      <c r="I118" s="12" t="s">
        <v>24</v>
      </c>
      <c r="J118" s="12"/>
      <c r="K118" s="12" t="s">
        <v>177</v>
      </c>
      <c r="L118" s="12"/>
      <c r="M118" s="13" t="s">
        <v>26</v>
      </c>
      <c r="N118" s="13"/>
      <c r="O118" s="13"/>
      <c r="P118" s="13" t="s">
        <v>27</v>
      </c>
      <c r="Q118" s="13"/>
      <c r="R118" s="13"/>
      <c r="S118" s="13"/>
      <c r="T118" s="14" t="s">
        <v>28</v>
      </c>
      <c r="U118" s="14"/>
    </row>
    <row r="119" spans="1:21" s="1" customFormat="1" ht="12.75" customHeight="1">
      <c r="A119" s="15" t="s">
        <v>29</v>
      </c>
      <c r="B119" s="15"/>
      <c r="C119" s="15"/>
      <c r="D119" s="15"/>
      <c r="E119" s="15"/>
      <c r="F119" s="15"/>
      <c r="G119" s="15"/>
      <c r="H119" s="15"/>
      <c r="I119" s="15" t="s">
        <v>30</v>
      </c>
      <c r="J119" s="15"/>
      <c r="K119" s="15" t="s">
        <v>31</v>
      </c>
      <c r="L119" s="15"/>
      <c r="M119" s="16" t="s">
        <v>32</v>
      </c>
      <c r="N119" s="16"/>
      <c r="O119" s="16"/>
      <c r="P119" s="16" t="s">
        <v>33</v>
      </c>
      <c r="Q119" s="16"/>
      <c r="R119" s="16"/>
      <c r="S119" s="16"/>
      <c r="T119" s="17" t="s">
        <v>34</v>
      </c>
      <c r="U119" s="17"/>
    </row>
    <row r="120" spans="1:21" s="1" customFormat="1" ht="13.5" customHeight="1">
      <c r="A120" s="18" t="s">
        <v>178</v>
      </c>
      <c r="B120" s="18"/>
      <c r="C120" s="18"/>
      <c r="D120" s="18"/>
      <c r="E120" s="18"/>
      <c r="F120" s="18"/>
      <c r="G120" s="18"/>
      <c r="H120" s="18"/>
      <c r="I120" s="19" t="s">
        <v>179</v>
      </c>
      <c r="J120" s="19"/>
      <c r="K120" s="19" t="s">
        <v>37</v>
      </c>
      <c r="L120" s="19"/>
      <c r="M120" s="37">
        <f>2417156.47</f>
        <v>2417156.47</v>
      </c>
      <c r="N120" s="37"/>
      <c r="O120" s="37"/>
      <c r="P120" s="20">
        <f>-1032555.11</f>
        <v>-1032555.11</v>
      </c>
      <c r="Q120" s="20"/>
      <c r="R120" s="20"/>
      <c r="S120" s="20"/>
      <c r="T120" s="38">
        <f>3449711.58</f>
        <v>3449711.58</v>
      </c>
      <c r="U120" s="38"/>
    </row>
    <row r="121" spans="1:21" s="1" customFormat="1" ht="13.5" customHeight="1">
      <c r="A121" s="39" t="s">
        <v>180</v>
      </c>
      <c r="B121" s="39"/>
      <c r="C121" s="39"/>
      <c r="D121" s="39"/>
      <c r="E121" s="39"/>
      <c r="F121" s="39"/>
      <c r="G121" s="39"/>
      <c r="H121" s="39"/>
      <c r="I121" s="40" t="s">
        <v>11</v>
      </c>
      <c r="J121" s="40"/>
      <c r="K121" s="40" t="s">
        <v>11</v>
      </c>
      <c r="L121" s="40"/>
      <c r="M121" s="41" t="s">
        <v>11</v>
      </c>
      <c r="N121" s="41"/>
      <c r="O121" s="41"/>
      <c r="P121" s="42" t="s">
        <v>11</v>
      </c>
      <c r="Q121" s="42"/>
      <c r="R121" s="42"/>
      <c r="S121" s="42"/>
      <c r="T121" s="43" t="s">
        <v>11</v>
      </c>
      <c r="U121" s="43"/>
    </row>
    <row r="122" spans="1:21" s="1" customFormat="1" ht="13.5" customHeight="1">
      <c r="A122" s="22" t="s">
        <v>181</v>
      </c>
      <c r="B122" s="22"/>
      <c r="C122" s="22"/>
      <c r="D122" s="22"/>
      <c r="E122" s="22"/>
      <c r="F122" s="22"/>
      <c r="G122" s="22"/>
      <c r="H122" s="22"/>
      <c r="I122" s="44" t="s">
        <v>182</v>
      </c>
      <c r="J122" s="44"/>
      <c r="K122" s="23" t="s">
        <v>37</v>
      </c>
      <c r="L122" s="23"/>
      <c r="M122" s="45">
        <f>2000000</f>
        <v>2000000</v>
      </c>
      <c r="N122" s="45"/>
      <c r="O122" s="45"/>
      <c r="P122" s="24">
        <f>-800000</f>
        <v>-800000</v>
      </c>
      <c r="Q122" s="24"/>
      <c r="R122" s="24"/>
      <c r="S122" s="24"/>
      <c r="T122" s="46">
        <f>2800000</f>
        <v>2800000</v>
      </c>
      <c r="U122" s="46"/>
    </row>
    <row r="123" spans="1:21" s="1" customFormat="1" ht="13.5" customHeight="1">
      <c r="A123" s="28" t="s">
        <v>183</v>
      </c>
      <c r="B123" s="28"/>
      <c r="C123" s="28"/>
      <c r="D123" s="28"/>
      <c r="E123" s="28"/>
      <c r="F123" s="28"/>
      <c r="G123" s="28"/>
      <c r="H123" s="28"/>
      <c r="I123" s="29" t="s">
        <v>182</v>
      </c>
      <c r="J123" s="29"/>
      <c r="K123" s="29" t="s">
        <v>184</v>
      </c>
      <c r="L123" s="29"/>
      <c r="M123" s="47">
        <f>900000</f>
        <v>900000</v>
      </c>
      <c r="N123" s="47"/>
      <c r="O123" s="47"/>
      <c r="P123" s="32" t="s">
        <v>50</v>
      </c>
      <c r="Q123" s="32"/>
      <c r="R123" s="32"/>
      <c r="S123" s="32"/>
      <c r="T123" s="48">
        <f>900000</f>
        <v>900000</v>
      </c>
      <c r="U123" s="48"/>
    </row>
    <row r="124" spans="1:21" s="1" customFormat="1" ht="13.5" customHeight="1">
      <c r="A124" s="28" t="s">
        <v>183</v>
      </c>
      <c r="B124" s="28"/>
      <c r="C124" s="28"/>
      <c r="D124" s="28"/>
      <c r="E124" s="28"/>
      <c r="F124" s="28"/>
      <c r="G124" s="28"/>
      <c r="H124" s="28"/>
      <c r="I124" s="29" t="s">
        <v>182</v>
      </c>
      <c r="J124" s="29"/>
      <c r="K124" s="29" t="s">
        <v>185</v>
      </c>
      <c r="L124" s="29"/>
      <c r="M124" s="47">
        <f>-900000</f>
        <v>-900000</v>
      </c>
      <c r="N124" s="47"/>
      <c r="O124" s="47"/>
      <c r="P124" s="30">
        <f>-800000</f>
        <v>-800000</v>
      </c>
      <c r="Q124" s="30"/>
      <c r="R124" s="30"/>
      <c r="S124" s="30"/>
      <c r="T124" s="48">
        <f>-100000</f>
        <v>-100000</v>
      </c>
      <c r="U124" s="48"/>
    </row>
    <row r="125" spans="1:21" s="1" customFormat="1" ht="24" customHeight="1">
      <c r="A125" s="28" t="s">
        <v>186</v>
      </c>
      <c r="B125" s="28"/>
      <c r="C125" s="28"/>
      <c r="D125" s="28"/>
      <c r="E125" s="28"/>
      <c r="F125" s="28"/>
      <c r="G125" s="28"/>
      <c r="H125" s="28"/>
      <c r="I125" s="29" t="s">
        <v>182</v>
      </c>
      <c r="J125" s="29"/>
      <c r="K125" s="29" t="s">
        <v>187</v>
      </c>
      <c r="L125" s="29"/>
      <c r="M125" s="47">
        <f>2000000</f>
        <v>2000000</v>
      </c>
      <c r="N125" s="47"/>
      <c r="O125" s="47"/>
      <c r="P125" s="32" t="s">
        <v>50</v>
      </c>
      <c r="Q125" s="32"/>
      <c r="R125" s="32"/>
      <c r="S125" s="32"/>
      <c r="T125" s="48">
        <f>2000000</f>
        <v>2000000</v>
      </c>
      <c r="U125" s="48"/>
    </row>
    <row r="126" spans="1:21" s="1" customFormat="1" ht="0.75" customHeight="1">
      <c r="A126" s="49" t="s">
        <v>11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s="1" customFormat="1" ht="13.5" customHeight="1">
      <c r="A127" s="28" t="s">
        <v>188</v>
      </c>
      <c r="B127" s="28"/>
      <c r="C127" s="28"/>
      <c r="D127" s="28"/>
      <c r="E127" s="28"/>
      <c r="F127" s="28"/>
      <c r="G127" s="28"/>
      <c r="H127" s="28"/>
      <c r="I127" s="40" t="s">
        <v>189</v>
      </c>
      <c r="J127" s="40"/>
      <c r="K127" s="40" t="s">
        <v>37</v>
      </c>
      <c r="L127" s="40"/>
      <c r="M127" s="41" t="s">
        <v>50</v>
      </c>
      <c r="N127" s="41"/>
      <c r="O127" s="41"/>
      <c r="P127" s="32" t="s">
        <v>50</v>
      </c>
      <c r="Q127" s="32"/>
      <c r="R127" s="32"/>
      <c r="S127" s="32"/>
      <c r="T127" s="43" t="s">
        <v>50</v>
      </c>
      <c r="U127" s="43"/>
    </row>
    <row r="128" spans="1:21" s="1" customFormat="1" ht="13.5" customHeight="1">
      <c r="A128" s="28" t="s">
        <v>11</v>
      </c>
      <c r="B128" s="28"/>
      <c r="C128" s="28"/>
      <c r="D128" s="28"/>
      <c r="E128" s="28"/>
      <c r="F128" s="28"/>
      <c r="G128" s="28"/>
      <c r="H128" s="28"/>
      <c r="I128" s="29" t="s">
        <v>189</v>
      </c>
      <c r="J128" s="29"/>
      <c r="K128" s="29" t="s">
        <v>11</v>
      </c>
      <c r="L128" s="29"/>
      <c r="M128" s="50" t="s">
        <v>50</v>
      </c>
      <c r="N128" s="50"/>
      <c r="O128" s="50"/>
      <c r="P128" s="32" t="s">
        <v>50</v>
      </c>
      <c r="Q128" s="32"/>
      <c r="R128" s="32"/>
      <c r="S128" s="32"/>
      <c r="T128" s="51" t="s">
        <v>50</v>
      </c>
      <c r="U128" s="51"/>
    </row>
    <row r="129" spans="1:21" s="1" customFormat="1" ht="13.5" customHeight="1">
      <c r="A129" s="28" t="s">
        <v>190</v>
      </c>
      <c r="B129" s="28"/>
      <c r="C129" s="28"/>
      <c r="D129" s="28"/>
      <c r="E129" s="28"/>
      <c r="F129" s="28"/>
      <c r="G129" s="28"/>
      <c r="H129" s="28"/>
      <c r="I129" s="29" t="s">
        <v>191</v>
      </c>
      <c r="J129" s="29"/>
      <c r="K129" s="29" t="s">
        <v>192</v>
      </c>
      <c r="L129" s="29"/>
      <c r="M129" s="47">
        <f>417156.47</f>
        <v>417156.47</v>
      </c>
      <c r="N129" s="47"/>
      <c r="O129" s="47"/>
      <c r="P129" s="30">
        <f>-232555.11</f>
        <v>-232555.11</v>
      </c>
      <c r="Q129" s="30"/>
      <c r="R129" s="30"/>
      <c r="S129" s="30"/>
      <c r="T129" s="48">
        <f>649711.58</f>
        <v>649711.58</v>
      </c>
      <c r="U129" s="48"/>
    </row>
    <row r="130" spans="1:21" s="1" customFormat="1" ht="13.5" customHeight="1">
      <c r="A130" s="28" t="s">
        <v>193</v>
      </c>
      <c r="B130" s="28"/>
      <c r="C130" s="28"/>
      <c r="D130" s="28"/>
      <c r="E130" s="28"/>
      <c r="F130" s="28"/>
      <c r="G130" s="28"/>
      <c r="H130" s="28"/>
      <c r="I130" s="29" t="s">
        <v>194</v>
      </c>
      <c r="J130" s="29"/>
      <c r="K130" s="29" t="s">
        <v>195</v>
      </c>
      <c r="L130" s="29"/>
      <c r="M130" s="47">
        <f>-34081800</f>
        <v>-34081800</v>
      </c>
      <c r="N130" s="47"/>
      <c r="O130" s="47"/>
      <c r="P130" s="30">
        <f>-13553236.35</f>
        <v>-13553236.35</v>
      </c>
      <c r="Q130" s="30"/>
      <c r="R130" s="30"/>
      <c r="S130" s="30"/>
      <c r="T130" s="52" t="s">
        <v>37</v>
      </c>
      <c r="U130" s="52"/>
    </row>
    <row r="131" spans="1:21" s="1" customFormat="1" ht="13.5" customHeight="1">
      <c r="A131" s="28" t="s">
        <v>196</v>
      </c>
      <c r="B131" s="28"/>
      <c r="C131" s="28"/>
      <c r="D131" s="28"/>
      <c r="E131" s="28"/>
      <c r="F131" s="28"/>
      <c r="G131" s="28"/>
      <c r="H131" s="28"/>
      <c r="I131" s="29" t="s">
        <v>197</v>
      </c>
      <c r="J131" s="29"/>
      <c r="K131" s="29" t="s">
        <v>198</v>
      </c>
      <c r="L131" s="29"/>
      <c r="M131" s="47">
        <f>34498956.47</f>
        <v>34498956.47</v>
      </c>
      <c r="N131" s="47"/>
      <c r="O131" s="47"/>
      <c r="P131" s="30">
        <f>13320681.24</f>
        <v>13320681.24</v>
      </c>
      <c r="Q131" s="30"/>
      <c r="R131" s="30"/>
      <c r="S131" s="30"/>
      <c r="T131" s="52" t="s">
        <v>37</v>
      </c>
      <c r="U131" s="52"/>
    </row>
    <row r="132" spans="1:21" s="1" customFormat="1" ht="13.5" customHeight="1">
      <c r="A132" s="54" t="s">
        <v>11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s="1" customFormat="1" ht="13.5" customHeight="1">
      <c r="A133" s="7" t="s">
        <v>11</v>
      </c>
      <c r="B133" s="7"/>
      <c r="C133" s="7"/>
      <c r="D133" s="7"/>
      <c r="E133" s="7"/>
      <c r="F133" s="53" t="s">
        <v>11</v>
      </c>
      <c r="G133" s="53"/>
      <c r="H133" s="53"/>
      <c r="I133" s="53"/>
      <c r="J133" s="53"/>
      <c r="K133" s="53" t="s">
        <v>199</v>
      </c>
      <c r="L133" s="53"/>
      <c r="M133" s="53"/>
      <c r="N133" s="53"/>
      <c r="O133" s="7" t="s">
        <v>11</v>
      </c>
      <c r="P133" s="7"/>
      <c r="Q133" s="7"/>
      <c r="R133" s="7"/>
      <c r="S133" s="7"/>
      <c r="T133" s="7"/>
      <c r="U133" s="7"/>
    </row>
    <row r="134" spans="1:21" s="1" customFormat="1" ht="13.5" customHeight="1">
      <c r="A134" s="7" t="s">
        <v>11</v>
      </c>
      <c r="B134" s="7"/>
      <c r="C134" s="7"/>
      <c r="D134" s="7"/>
      <c r="E134" s="7"/>
      <c r="F134" s="9" t="s">
        <v>11</v>
      </c>
      <c r="G134" s="55" t="s">
        <v>200</v>
      </c>
      <c r="H134" s="55"/>
      <c r="I134" s="55"/>
      <c r="J134" s="9" t="s">
        <v>11</v>
      </c>
      <c r="K134" s="9" t="s">
        <v>11</v>
      </c>
      <c r="L134" s="55" t="s">
        <v>201</v>
      </c>
      <c r="M134" s="55"/>
      <c r="N134" s="7" t="s">
        <v>11</v>
      </c>
      <c r="O134" s="7"/>
      <c r="P134" s="7"/>
      <c r="Q134" s="7"/>
      <c r="R134" s="7"/>
      <c r="S134" s="7"/>
      <c r="T134" s="7"/>
      <c r="U134" s="7"/>
    </row>
    <row r="135" spans="1:21" s="1" customFormat="1" ht="7.5" customHeight="1">
      <c r="A135" s="7" t="s">
        <v>11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7" t="s">
        <v>11</v>
      </c>
      <c r="B136" s="7"/>
      <c r="C136" s="7"/>
      <c r="D136" s="7"/>
      <c r="E136" s="7"/>
      <c r="F136" s="53" t="s">
        <v>11</v>
      </c>
      <c r="G136" s="53"/>
      <c r="H136" s="53"/>
      <c r="I136" s="53"/>
      <c r="J136" s="53"/>
      <c r="K136" s="53" t="s">
        <v>202</v>
      </c>
      <c r="L136" s="53"/>
      <c r="M136" s="53"/>
      <c r="N136" s="53"/>
      <c r="O136" s="7" t="s">
        <v>11</v>
      </c>
      <c r="P136" s="7"/>
      <c r="Q136" s="7"/>
      <c r="R136" s="7"/>
      <c r="S136" s="7"/>
      <c r="T136" s="7"/>
      <c r="U136" s="7"/>
    </row>
    <row r="137" spans="1:21" s="1" customFormat="1" ht="13.5" customHeight="1">
      <c r="A137" s="7" t="s">
        <v>11</v>
      </c>
      <c r="B137" s="7"/>
      <c r="C137" s="7"/>
      <c r="D137" s="7"/>
      <c r="E137" s="7"/>
      <c r="F137" s="9" t="s">
        <v>11</v>
      </c>
      <c r="G137" s="55" t="s">
        <v>200</v>
      </c>
      <c r="H137" s="55"/>
      <c r="I137" s="55"/>
      <c r="J137" s="9" t="s">
        <v>11</v>
      </c>
      <c r="K137" s="9" t="s">
        <v>11</v>
      </c>
      <c r="L137" s="55" t="s">
        <v>201</v>
      </c>
      <c r="M137" s="55"/>
      <c r="N137" s="7" t="s">
        <v>11</v>
      </c>
      <c r="O137" s="7"/>
      <c r="P137" s="7"/>
      <c r="Q137" s="7"/>
      <c r="R137" s="7"/>
      <c r="S137" s="7"/>
      <c r="T137" s="7"/>
      <c r="U137" s="7"/>
    </row>
    <row r="138" spans="1:21" s="1" customFormat="1" ht="7.5" customHeight="1">
      <c r="A138" s="7" t="s">
        <v>11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7" t="s">
        <v>11</v>
      </c>
      <c r="B139" s="7"/>
      <c r="C139" s="7"/>
      <c r="D139" s="7"/>
      <c r="E139" s="7"/>
      <c r="F139" s="53" t="s">
        <v>11</v>
      </c>
      <c r="G139" s="53"/>
      <c r="H139" s="53"/>
      <c r="I139" s="53"/>
      <c r="J139" s="53"/>
      <c r="K139" s="53" t="s">
        <v>203</v>
      </c>
      <c r="L139" s="53"/>
      <c r="M139" s="53"/>
      <c r="N139" s="53"/>
      <c r="O139" s="7" t="s">
        <v>11</v>
      </c>
      <c r="P139" s="7"/>
      <c r="Q139" s="7"/>
      <c r="R139" s="7"/>
      <c r="S139" s="7"/>
      <c r="T139" s="7"/>
      <c r="U139" s="7"/>
    </row>
    <row r="140" spans="1:21" s="1" customFormat="1" ht="13.5" customHeight="1">
      <c r="A140" s="7" t="s">
        <v>11</v>
      </c>
      <c r="B140" s="7"/>
      <c r="C140" s="7"/>
      <c r="D140" s="7"/>
      <c r="E140" s="7"/>
      <c r="F140" s="9" t="s">
        <v>11</v>
      </c>
      <c r="G140" s="55" t="s">
        <v>200</v>
      </c>
      <c r="H140" s="55"/>
      <c r="I140" s="55"/>
      <c r="J140" s="9" t="s">
        <v>11</v>
      </c>
      <c r="K140" s="9" t="s">
        <v>11</v>
      </c>
      <c r="L140" s="55" t="s">
        <v>201</v>
      </c>
      <c r="M140" s="55"/>
      <c r="N140" s="7" t="s">
        <v>11</v>
      </c>
      <c r="O140" s="7"/>
      <c r="P140" s="7"/>
      <c r="Q140" s="7"/>
      <c r="R140" s="7"/>
      <c r="S140" s="7"/>
      <c r="T140" s="7"/>
      <c r="U140" s="7"/>
    </row>
    <row r="141" spans="1:21" s="1" customFormat="1" ht="15.75" customHeight="1">
      <c r="A141" s="7" t="s">
        <v>11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1" customFormat="1" ht="13.5" customHeight="1">
      <c r="A142" s="56" t="s">
        <v>204</v>
      </c>
      <c r="B142" s="56"/>
      <c r="C142" s="56"/>
      <c r="D142" s="56"/>
      <c r="E142" s="56"/>
      <c r="F142" s="56"/>
      <c r="G142" s="56"/>
      <c r="H142" s="7" t="s">
        <v>11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s="1" customFormat="1" ht="13.5" customHeight="1">
      <c r="A143" s="4" t="s">
        <v>205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</sheetData>
  <mergeCells count="754">
    <mergeCell ref="A141:U141"/>
    <mergeCell ref="A142:G142"/>
    <mergeCell ref="H142:U142"/>
    <mergeCell ref="A143:U143"/>
    <mergeCell ref="A140:E140"/>
    <mergeCell ref="G140:I140"/>
    <mergeCell ref="L140:M140"/>
    <mergeCell ref="N140:U140"/>
    <mergeCell ref="A138:U138"/>
    <mergeCell ref="A139:E139"/>
    <mergeCell ref="F139:J139"/>
    <mergeCell ref="K139:N139"/>
    <mergeCell ref="O139:U139"/>
    <mergeCell ref="A137:E137"/>
    <mergeCell ref="G137:I137"/>
    <mergeCell ref="L137:M137"/>
    <mergeCell ref="N137:U137"/>
    <mergeCell ref="A135:U135"/>
    <mergeCell ref="A136:E136"/>
    <mergeCell ref="F136:J136"/>
    <mergeCell ref="K136:N136"/>
    <mergeCell ref="O136:U136"/>
    <mergeCell ref="A134:E134"/>
    <mergeCell ref="G134:I134"/>
    <mergeCell ref="L134:M134"/>
    <mergeCell ref="N134:U134"/>
    <mergeCell ref="A132:U132"/>
    <mergeCell ref="A133:E133"/>
    <mergeCell ref="F133:J133"/>
    <mergeCell ref="K133:N133"/>
    <mergeCell ref="O133:U133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A126:U126"/>
    <mergeCell ref="A127:H127"/>
    <mergeCell ref="I127:J127"/>
    <mergeCell ref="K127:L127"/>
    <mergeCell ref="M127:O127"/>
    <mergeCell ref="P127:S127"/>
    <mergeCell ref="T127:U127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0:S120"/>
    <mergeCell ref="T120:U120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5:S115"/>
    <mergeCell ref="T115:U115"/>
    <mergeCell ref="A116:U116"/>
    <mergeCell ref="A117:U117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1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2013-10-09T06:08:20Z</dcterms:created>
  <dcterms:modified xsi:type="dcterms:W3CDTF">2013-10-09T06:08:20Z</dcterms:modified>
  <cp:category/>
  <cp:version/>
  <cp:contentType/>
  <cp:contentStatus/>
</cp:coreProperties>
</file>